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Admin/CS DUS/DUS/Plan of Study forms/"/>
    </mc:Choice>
  </mc:AlternateContent>
  <xr:revisionPtr revIDLastSave="0" documentId="13_ncr:1_{5255C887-82FF-4445-9CBB-F75FF6BA60FE}" xr6:coauthVersionLast="45" xr6:coauthVersionMax="45" xr10:uidLastSave="{00000000-0000-0000-0000-000000000000}"/>
  <bookViews>
    <workbookView xWindow="0" yWindow="460" windowWidth="33600" windowHeight="20540" tabRatio="19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6" i="1" l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1" i="1"/>
  <c r="Y26" i="1" l="1"/>
  <c r="A29" i="1" s="1"/>
  <c r="A13" i="1" l="1"/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J13" i="1"/>
  <c r="J12" i="1"/>
  <c r="J11" i="1"/>
  <c r="B30" i="1" l="1"/>
  <c r="A41" i="1" l="1"/>
  <c r="J20" i="1" l="1"/>
  <c r="J18" i="1"/>
  <c r="J17" i="1"/>
  <c r="J15" i="1"/>
  <c r="J14" i="1"/>
  <c r="J31" i="1"/>
  <c r="J30" i="1"/>
  <c r="J29" i="1"/>
  <c r="K29" i="1" s="1"/>
  <c r="J28" i="1"/>
  <c r="J27" i="1"/>
  <c r="J26" i="1"/>
  <c r="J25" i="1"/>
  <c r="J24" i="1"/>
  <c r="J23" i="1"/>
  <c r="J22" i="1"/>
  <c r="J21" i="1"/>
  <c r="E20" i="1"/>
  <c r="J19" i="1"/>
  <c r="A8" i="1"/>
  <c r="A9" i="1"/>
  <c r="A25" i="1"/>
  <c r="L24" i="1" l="1"/>
  <c r="M24" i="1"/>
  <c r="L25" i="1"/>
  <c r="M25" i="1"/>
  <c r="M23" i="1"/>
  <c r="L23" i="1"/>
  <c r="K25" i="1"/>
  <c r="K24" i="1"/>
  <c r="K28" i="1"/>
  <c r="V18" i="1"/>
  <c r="K21" i="1"/>
  <c r="K15" i="1"/>
  <c r="K22" i="1"/>
  <c r="K26" i="1"/>
  <c r="K16" i="1"/>
  <c r="K17" i="1"/>
  <c r="K19" i="1"/>
  <c r="K23" i="1"/>
  <c r="W24" i="1"/>
  <c r="K27" i="1"/>
  <c r="K18" i="1"/>
  <c r="K14" i="1"/>
  <c r="K12" i="1"/>
  <c r="K13" i="1"/>
  <c r="K11" i="1"/>
  <c r="AC12" i="1"/>
  <c r="V17" i="1"/>
  <c r="K20" i="1"/>
  <c r="AC23" i="1"/>
  <c r="AC22" i="1"/>
  <c r="AC21" i="1"/>
  <c r="AC20" i="1"/>
  <c r="AC18" i="1"/>
  <c r="AC19" i="1"/>
  <c r="W25" i="1"/>
  <c r="AC14" i="1"/>
  <c r="AC13" i="1"/>
  <c r="Y22" i="1" l="1"/>
  <c r="AC15" i="1"/>
  <c r="Y20" i="1"/>
  <c r="Y23" i="1"/>
  <c r="Y21" i="1"/>
  <c r="AC11" i="1"/>
  <c r="AD40" i="1"/>
  <c r="A19" i="1" s="1"/>
  <c r="X26" i="1"/>
  <c r="X25" i="1"/>
  <c r="I24" i="1"/>
  <c r="AC17" i="1"/>
  <c r="E14" i="1"/>
  <c r="E15" i="1"/>
  <c r="E17" i="1"/>
  <c r="E18" i="1"/>
  <c r="AD38" i="1" l="1"/>
  <c r="A22" i="1" s="1"/>
  <c r="Y25" i="1"/>
  <c r="A28" i="1" s="1"/>
  <c r="AD37" i="1"/>
  <c r="A16" i="1" s="1"/>
  <c r="I23" i="1"/>
  <c r="Y24" i="1"/>
  <c r="A27" i="1" s="1"/>
  <c r="X24" i="1"/>
  <c r="I25" i="1"/>
  <c r="Y17" i="1" l="1"/>
  <c r="AC25" i="1"/>
  <c r="Y18" i="1"/>
  <c r="AD36" i="1"/>
  <c r="A6" i="1" s="1"/>
  <c r="AC24" i="1" l="1"/>
  <c r="AC16" i="1"/>
  <c r="A30" i="1"/>
  <c r="AD39" i="1" l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Chong</author>
  </authors>
  <commentList>
    <comment ref="V17" authorId="0" shapeId="0" xr:uid="{00000000-0006-0000-0000-000001000000}">
      <text>
        <r>
          <rPr>
            <sz val="10"/>
            <color rgb="FF000000"/>
            <rFont val="Tahoma"/>
            <family val="2"/>
          </rPr>
          <t>Is the first theory course valid?</t>
        </r>
      </text>
    </comment>
    <comment ref="Y17" authorId="0" shapeId="0" xr:uid="{F0B80381-6383-C64E-9BE7-4F3F9A84582D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Are first two breadth courses duplicate areas?</t>
        </r>
      </text>
    </comment>
    <comment ref="V18" authorId="0" shapeId="0" xr:uid="{00000000-0006-0000-0000-000002000000}">
      <text>
        <r>
          <rPr>
            <sz val="9"/>
            <color rgb="FF000000"/>
            <rFont val="Arial"/>
            <family val="2"/>
          </rPr>
          <t>Is the 2nd theory course valid?</t>
        </r>
      </text>
    </comment>
    <comment ref="Y18" authorId="0" shapeId="0" xr:uid="{9F574AF9-5206-5A41-B06F-076ADC8505FA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Any duplicates in the 3 breadth courses?
</t>
        </r>
      </text>
    </comment>
    <comment ref="Y20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Are electives for Basic program invalid?</t>
        </r>
      </text>
    </comment>
    <comment ref="Y21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Honors program?</t>
        </r>
      </text>
    </comment>
    <comment ref="Y2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Joint program?</t>
        </r>
      </text>
    </comment>
    <comment ref="I23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Y23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MBB program?</t>
        </r>
      </text>
    </comment>
    <comment ref="I24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4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first elective valid for the Basic program?
</t>
        </r>
      </text>
    </comment>
    <comment ref="X24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1st elective valid for the Honors program?</t>
        </r>
      </text>
    </comment>
    <comment ref="Y24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1st elective valid?
</t>
        </r>
      </text>
    </comment>
    <comment ref="I25" authorId="0" shapeId="0" xr:uid="{00000000-0006-0000-0000-00000D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5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2nd elective valid for the Basic program?
</t>
        </r>
      </text>
    </comment>
    <comment ref="X25" authorId="0" shapeId="0" xr:uid="{00000000-0006-0000-0000-00000F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 valid for the Honors program?</t>
        </r>
      </text>
    </comment>
    <comment ref="Y25" authorId="0" shapeId="0" xr:uid="{00000000-0006-0000-0000-000010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valid?</t>
        </r>
      </text>
    </comment>
    <comment ref="X26" authorId="0" shapeId="0" xr:uid="{00000000-0006-0000-0000-000011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 for the Honors program?</t>
        </r>
      </text>
    </comment>
    <comment ref="Y26" authorId="0" shapeId="0" xr:uid="{00000000-0006-0000-0000-000012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valid?</t>
        </r>
      </text>
    </comment>
  </commentList>
</comments>
</file>

<file path=xl/sharedStrings.xml><?xml version="1.0" encoding="utf-8"?>
<sst xmlns="http://schemas.openxmlformats.org/spreadsheetml/2006/main" count="260" uniqueCount="238">
  <si>
    <t>Electives</t>
  </si>
  <si>
    <t>Core</t>
  </si>
  <si>
    <t>Theory</t>
  </si>
  <si>
    <t>MBB theory</t>
  </si>
  <si>
    <t>Key to data tables</t>
  </si>
  <si>
    <t>CS20</t>
  </si>
  <si>
    <t>CS91R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</si>
  <si>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</si>
  <si>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</si>
  <si>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</si>
  <si>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</si>
  <si>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CS108</t>
  </si>
  <si>
    <t>CS61</t>
  </si>
  <si>
    <t>CS125</t>
  </si>
  <si>
    <t>STAT110</t>
  </si>
  <si>
    <t>Which program? (Choose from menu)</t>
  </si>
  <si>
    <t>CS109</t>
  </si>
  <si>
    <t>CS134</t>
  </si>
  <si>
    <t>CS127</t>
  </si>
  <si>
    <t>CS121</t>
  </si>
  <si>
    <t>STAT121</t>
  </si>
  <si>
    <t>Enter grade from menu to calculate your GPA</t>
  </si>
  <si>
    <t>Grade</t>
  </si>
  <si>
    <t>CS205</t>
  </si>
  <si>
    <t>CS136</t>
  </si>
  <si>
    <t>CS221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</si>
  <si>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</si>
  <si>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</si>
  <si>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</si>
  <si>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</si>
  <si>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</si>
  <si>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</si>
  <si>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</si>
  <si>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</si>
  <si>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</si>
  <si>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</si>
  <si>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</si>
  <si>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</si>
  <si>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</si>
  <si>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</si>
  <si>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</si>
  <si>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</si>
  <si>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</si>
  <si>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</si>
  <si>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</si>
  <si>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</si>
  <si>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AM120</t>
  </si>
  <si>
    <t>CS153</t>
  </si>
  <si>
    <t>CS229R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</si>
  <si>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</si>
  <si>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</si>
  <si>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</si>
  <si>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</si>
  <si>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</si>
  <si>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</si>
  <si>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</si>
  <si>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</si>
  <si>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</si>
  <si>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</si>
  <si>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</si>
  <si>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</si>
  <si>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CS109A</t>
  </si>
  <si>
    <t>CS179</t>
  </si>
  <si>
    <t>CS109B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</si>
  <si>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</si>
  <si>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</si>
  <si>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</si>
  <si>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</si>
  <si>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</si>
  <si>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</si>
  <si>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</si>
  <si>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</si>
  <si>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</si>
  <si>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</si>
  <si>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</si>
  <si>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</si>
  <si>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</si>
  <si>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</si>
  <si>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CS250</t>
  </si>
  <si>
    <t>CS247R</t>
  </si>
  <si>
    <t>CS191</t>
  </si>
  <si>
    <t>CS126</t>
  </si>
  <si>
    <t>NAME:</t>
  </si>
  <si>
    <t>HUID#:</t>
  </si>
  <si>
    <t>CanonicalCourseName</t>
  </si>
  <si>
    <t>IsCourseDuplicate?</t>
  </si>
  <si>
    <t>Grade points</t>
  </si>
  <si>
    <t>IsCourseGradeEntered?</t>
  </si>
  <si>
    <t>Version history</t>
  </si>
  <si>
    <t>Grade point lookup</t>
  </si>
  <si>
    <t>A</t>
  </si>
  <si>
    <t>A-</t>
  </si>
  <si>
    <t>B+</t>
  </si>
  <si>
    <t>B-</t>
  </si>
  <si>
    <t>C+</t>
  </si>
  <si>
    <t>C-</t>
  </si>
  <si>
    <t>D+</t>
  </si>
  <si>
    <t>D-</t>
  </si>
  <si>
    <t>D</t>
  </si>
  <si>
    <t>B</t>
  </si>
  <si>
    <t>C</t>
  </si>
  <si>
    <t>CS252R</t>
  </si>
  <si>
    <t>CS260R</t>
  </si>
  <si>
    <t>CS261R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</si>
  <si>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</si>
  <si>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</si>
  <si>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</si>
  <si>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</si>
  <si>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</si>
  <si>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</si>
  <si>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</si>
  <si>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</si>
  <si>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CS282R</t>
  </si>
  <si>
    <t>CS283</t>
  </si>
  <si>
    <t>CS284</t>
  </si>
  <si>
    <t>CS285</t>
  </si>
  <si>
    <t>CS287</t>
  </si>
  <si>
    <t>CS288R</t>
  </si>
  <si>
    <t>CS289</t>
  </si>
  <si>
    <t>1.0.9: Added missing CS grad courses. Fixed bug with cell A14; Added grade point lookup; Breadth courses must be CS or a known alternative</t>
  </si>
  <si>
    <t>STAT121A</t>
  </si>
  <si>
    <t>STAT121B</t>
  </si>
  <si>
    <t>1.0.10: "Secondary" -&gt; "Allied"; use a lookup table for penultimate digit; added stat121a and b</t>
  </si>
  <si>
    <t>Core penultimte digit</t>
  </si>
  <si>
    <t>PHYS123</t>
  </si>
  <si>
    <t>ES153</t>
  </si>
  <si>
    <t>EC1034</t>
  </si>
  <si>
    <t>As new courses appear, they need to be added to these columns, in rows 3..99. Be careful not to change row 2, which is special as noted above.</t>
  </si>
  <si>
    <t>1.0.11: Fix bug in GPA computation</t>
  </si>
  <si>
    <t>1.0.12: Added cell for current year</t>
  </si>
  <si>
    <t>Current Year:</t>
  </si>
  <si>
    <t>CS226</t>
  </si>
  <si>
    <t>1.0.13: Added CS226</t>
  </si>
  <si>
    <t>1.0.14: Added ES170 (and also AM106 and 107 to electives)</t>
  </si>
  <si>
    <t>ES170</t>
  </si>
  <si>
    <t>STAT195</t>
  </si>
  <si>
    <t>Error Messge</t>
  </si>
  <si>
    <t>Error condition</t>
  </si>
  <si>
    <t>Error! Duplicate Course!</t>
  </si>
  <si>
    <t>Message location</t>
  </si>
  <si>
    <t>Error! Can't use CS20 for Math21a in an Honors program!</t>
  </si>
  <si>
    <t>Error! Can't use CS20 for Math21a unless declared prior to Fall 2018!</t>
  </si>
  <si>
    <t>Other</t>
  </si>
  <si>
    <t>Basic</t>
  </si>
  <si>
    <t>Error! Not MCB80, MCB81, or Other!</t>
  </si>
  <si>
    <t>Error cell</t>
  </si>
  <si>
    <t>Error message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</si>
  <si>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</si>
  <si>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</si>
  <si>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</si>
  <si>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</si>
  <si>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</si>
  <si>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</si>
  <si>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</si>
  <si>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</si>
  <si>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2020</t>
  </si>
  <si>
    <t>Spring 2020</t>
  </si>
  <si>
    <t>Fall 2021</t>
  </si>
  <si>
    <t>Fall 2019</t>
  </si>
  <si>
    <t>Spring 2021</t>
  </si>
  <si>
    <t>Spring 2022</t>
  </si>
  <si>
    <t>Term (will be) taken</t>
  </si>
  <si>
    <t>Course</t>
  </si>
  <si>
    <t>Course semesters</t>
  </si>
  <si>
    <t>Basic Math: Stats or Multivariable Calculus (choose from menu)</t>
  </si>
  <si>
    <t>1.1.0: Summer 2018, Added column for semester, included Stat195, removed AM107 as Theory requirement, added Math22a and Math22b, ensure 1a+1b+CS20 applies only to non-honors, MBB breadth can't include 8, refactored error messages,CS 20 allowed in all programs</t>
  </si>
  <si>
    <t>Error! Cannot take CS125 plus either CS121 or CS124</t>
  </si>
  <si>
    <t>This Plan of Study is to:</t>
  </si>
  <si>
    <t>Get DUS approval to use CS229r as second theory course</t>
  </si>
  <si>
    <t>Theory, first course (CS 121 or alternative: choose from menu)</t>
  </si>
  <si>
    <t>Theory, second course (CS 124 or alternative: write in)</t>
  </si>
  <si>
    <t>A19</t>
  </si>
  <si>
    <t>A23</t>
  </si>
  <si>
    <t>A6</t>
  </si>
  <si>
    <t>A13</t>
  </si>
  <si>
    <t>1.1.1: Better error message for AM106</t>
  </si>
  <si>
    <t>1.1.2: Added Math 23c</t>
  </si>
  <si>
    <t>1.1.3: Allow seniors to take AM106 for 2nd theory</t>
  </si>
  <si>
    <t>AM106 is not a valid 2nd theory course; permitted only by seniors of if taken before 2018. Talk to the DUSes.</t>
  </si>
  <si>
    <t>1.1.4</t>
  </si>
  <si>
    <t>Added CS145 to technical electives</t>
  </si>
  <si>
    <t>CS145</t>
  </si>
  <si>
    <t>CS100</t>
  </si>
  <si>
    <t>1.1.5</t>
  </si>
  <si>
    <t>Added some more courses: AM207, CS100</t>
  </si>
  <si>
    <t>AM207</t>
  </si>
  <si>
    <t>Error! Likely not a valid second theory course; if in doubt, contact DUS</t>
  </si>
  <si>
    <t>1.1.6</t>
  </si>
  <si>
    <t>Slightly better error messages, Prevent CS51 and CS15x</t>
  </si>
  <si>
    <t>A16</t>
  </si>
  <si>
    <t>Can replace CS51 with CS15x, can't have both CS51 and CS15x</t>
  </si>
  <si>
    <t>Can replace CS61 with CS16x, can't have both CS61 and CS16x</t>
  </si>
  <si>
    <t>Can't replace CS50 with more advanced course; take CS61 or CS16x</t>
  </si>
  <si>
    <t>Need CS51 or more advanced course</t>
  </si>
  <si>
    <t>Math preparation</t>
  </si>
  <si>
    <t>None</t>
  </si>
  <si>
    <t>1.1.7</t>
  </si>
  <si>
    <t>Added Math preparation courses</t>
  </si>
  <si>
    <t>1.1.8</t>
  </si>
  <si>
    <t>Column O: Technical electives. These include all “non-core” CS courses that count for concentration but not for breadth. Row 2 is CS20 (which in a previous version of the spreadsheet counted only in honors programs)</t>
  </si>
  <si>
    <t>Column P: “Core” CS courses, which count for breadth. That is, this is all CS courses with penultimate digit 3..8. Row 2 is CS91r, which counts but only for joint programs.</t>
  </si>
  <si>
    <t>Column Q is the penultimate digit for the core CS classes. There are a few non-CS classes that are permitted, and this maps the penultimate digit appropriately</t>
  </si>
  <si>
    <t>Column R are the theory courses. These count for the theory requirement.</t>
  </si>
  <si>
    <t>Column S are the courses that count for the theory requirement for MBB programs.</t>
  </si>
  <si>
    <t>Column T are the semesters</t>
  </si>
  <si>
    <t>Is invalid breadth course?</t>
  </si>
  <si>
    <t>Error! Duplicate area for breadth courses!</t>
  </si>
  <si>
    <t>Error! MBB program can't use breadth course with 8</t>
  </si>
  <si>
    <t>Better error messages, more courses</t>
  </si>
  <si>
    <t>CS271</t>
  </si>
  <si>
    <t>CS271R</t>
  </si>
  <si>
    <t>CS249</t>
  </si>
  <si>
    <t>CS249R</t>
  </si>
  <si>
    <t>CS245</t>
  </si>
  <si>
    <t>CS243</t>
  </si>
  <si>
    <t>CS208</t>
  </si>
  <si>
    <t>CS144</t>
  </si>
  <si>
    <t>1.1.9</t>
  </si>
  <si>
    <t>Is invalid for breadth for joint?</t>
  </si>
  <si>
    <t>Correct bug with count CS91r for joint breadth, Adding AM22a, AM22b</t>
  </si>
  <si>
    <t>Fall 2022</t>
  </si>
  <si>
    <t>Fall 2023</t>
  </si>
  <si>
    <t>Spring 2023</t>
  </si>
  <si>
    <t>Fall 2024</t>
  </si>
  <si>
    <t>Spring 2024</t>
  </si>
  <si>
    <t>Spring 2025</t>
  </si>
  <si>
    <t>1.2.0</t>
  </si>
  <si>
    <t>Updated courses, semseters, and grades</t>
  </si>
  <si>
    <t>CS183</t>
  </si>
  <si>
    <t>CS226R</t>
  </si>
  <si>
    <t>CS279R</t>
  </si>
  <si>
    <t>CS107</t>
  </si>
  <si>
    <t>CS286</t>
  </si>
  <si>
    <t>ES143</t>
  </si>
  <si>
    <t>1.2.1</t>
  </si>
  <si>
    <t>Updated courses for Fall 2020</t>
  </si>
  <si>
    <t>1.2.2</t>
  </si>
  <si>
    <t>Added Math22a and Math22b to both LA and MVC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</si>
</sst>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20" x14ac:knownFonts="1">
    <font>
      <sz val="10"/>
      <name val="Arial"/>
      <family val="2"/>
    </font>
    <font>
      <sz val="10"/>
      <name val="Lucida Sans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D9D9D9"/>
        <bgColor rgb="FF000000"/>
      </patternFill>
    </fill>
    <fill>
      <patternFill patternType="solid">
        <fgColor rgb="FFFFD323"/>
        <bgColor indexed="31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Font="1" applyProtection="1"/>
    <xf numFmtId="0" fontId="0" fillId="5" borderId="0" xfId="0" applyFont="1" applyFill="1" applyProtection="1"/>
    <xf numFmtId="0" fontId="2" fillId="0" borderId="0" xfId="0" applyFont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Fill="1" applyProtection="1"/>
    <xf numFmtId="0" fontId="7" fillId="0" borderId="0" xfId="0" applyFont="1" applyProtection="1"/>
    <xf numFmtId="0" fontId="9" fillId="0" borderId="0" xfId="0" applyFont="1" applyProtection="1">
      <protection hidden="1"/>
    </xf>
    <xf numFmtId="0" fontId="2" fillId="7" borderId="0" xfId="0" applyFont="1" applyFill="1"/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0" fontId="0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8" fillId="3" borderId="0" xfId="0" applyFont="1" applyFill="1" applyAlignment="1" applyProtection="1">
      <alignment horizontal="left"/>
      <protection locked="0"/>
    </xf>
    <xf numFmtId="49" fontId="8" fillId="3" borderId="0" xfId="0" applyNumberFormat="1" applyFont="1" applyFill="1" applyAlignment="1" applyProtection="1">
      <alignment horizontal="left"/>
      <protection locked="0"/>
    </xf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/>
    <xf numFmtId="0" fontId="0" fillId="8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0" borderId="0" xfId="0" applyFont="1"/>
    <xf numFmtId="0" fontId="0" fillId="9" borderId="0" xfId="0" applyFill="1" applyProtection="1">
      <protection locked="0"/>
    </xf>
    <xf numFmtId="0" fontId="0" fillId="0" borderId="0" xfId="0" applyFill="1" applyProtection="1"/>
    <xf numFmtId="10" fontId="0" fillId="0" borderId="0" xfId="0" applyNumberFormat="1" applyFill="1" applyProtection="1"/>
    <xf numFmtId="0" fontId="8" fillId="0" borderId="0" xfId="0" applyFont="1" applyFill="1" applyAlignment="1" applyProtection="1">
      <alignment horizontal="left"/>
    </xf>
    <xf numFmtId="49" fontId="8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0" fillId="10" borderId="0" xfId="0" applyFill="1" applyProtection="1">
      <protection hidden="1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/>
    <xf numFmtId="49" fontId="0" fillId="0" borderId="0" xfId="0" applyNumberFormat="1" applyProtection="1"/>
    <xf numFmtId="0" fontId="0" fillId="0" borderId="0" xfId="0" applyFont="1" applyFill="1" applyProtection="1"/>
    <xf numFmtId="0" fontId="9" fillId="0" borderId="0" xfId="0" applyFont="1" applyFill="1" applyProtection="1">
      <protection hidden="1"/>
    </xf>
    <xf numFmtId="0" fontId="0" fillId="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11" borderId="0" xfId="0" applyFon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7" borderId="0" xfId="0" applyFill="1" applyProtection="1"/>
    <xf numFmtId="0" fontId="16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5" fillId="0" borderId="1" xfId="0" applyFont="1" applyBorder="1" applyAlignment="1" applyProtection="1">
      <alignment horizontal="right"/>
      <protection hidden="1"/>
    </xf>
    <xf numFmtId="0" fontId="17" fillId="0" borderId="1" xfId="0" applyFont="1" applyBorder="1" applyProtection="1"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Protection="1"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6" fillId="0" borderId="2" xfId="0" applyFont="1" applyBorder="1" applyProtection="1">
      <protection hidden="1"/>
    </xf>
    <xf numFmtId="0" fontId="17" fillId="0" borderId="2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19" fillId="0" borderId="2" xfId="0" applyFont="1" applyBorder="1" applyProtection="1">
      <protection hidden="1"/>
    </xf>
    <xf numFmtId="0" fontId="16" fillId="0" borderId="1" xfId="0" applyFont="1" applyBorder="1" applyProtection="1">
      <protection hidden="1"/>
    </xf>
    <xf numFmtId="0" fontId="17" fillId="0" borderId="1" xfId="0" applyFont="1" applyBorder="1" applyAlignment="1" applyProtection="1">
      <alignment horizontal="right"/>
      <protection hidden="1"/>
    </xf>
    <xf numFmtId="0" fontId="19" fillId="0" borderId="1" xfId="0" applyFont="1" applyBorder="1" applyAlignment="1" applyProtection="1">
      <alignment horizontal="left"/>
      <protection hidden="1"/>
    </xf>
  </cellXfs>
  <cellStyles count="249">
    <cellStyle name="Alarm" xfId="1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Grade" xfId="6" xr:uid="{00000000-0005-0000-0000-00007A000000}"/>
    <cellStyle name="Highlighted" xfId="2" xr:uid="{00000000-0005-0000-0000-00007B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  <cellStyle name="Untitled1" xfId="3" xr:uid="{00000000-0005-0000-0000-0000F6000000}"/>
    <cellStyle name="Untitled2" xfId="4" xr:uid="{00000000-0005-0000-0000-0000F7000000}"/>
    <cellStyle name="Warning" xfId="5" xr:uid="{00000000-0005-0000-0000-0000F8000000}"/>
  </cellStyles>
  <dxfs count="22">
    <dxf>
      <font>
        <color auto="1"/>
      </font>
      <fill>
        <patternFill>
          <bgColor rgb="FFCCCCCC"/>
        </patternFill>
      </fill>
    </dxf>
    <dxf>
      <font>
        <color auto="1"/>
      </font>
      <fill>
        <patternFill>
          <bgColor rgb="FFFFD31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23"/>
      <color rgb="FFF9D24E"/>
      <color rgb="FFFFD31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0"/>
  <sheetViews>
    <sheetView tabSelected="1" zoomScaleNormal="100" workbookViewId="0">
      <selection activeCell="C1" sqref="C1"/>
    </sheetView>
  </sheetViews>
  <sheetFormatPr baseColWidth="10" defaultColWidth="11.5" defaultRowHeight="16" x14ac:dyDescent="0.2"/>
  <cols>
    <col min="1" max="1" width="52.1640625" style="2" customWidth="1"/>
    <col min="2" max="2" width="8.5" style="2" customWidth="1"/>
    <col min="3" max="4" width="23.33203125" style="2" customWidth="1"/>
    <col min="5" max="5" width="15.6640625" style="2" customWidth="1"/>
    <col min="6" max="6" width="11.5" style="2"/>
    <col min="7" max="7" width="11.5" style="2" customWidth="1"/>
    <col min="8" max="9" width="11.5" style="1" hidden="1" customWidth="1"/>
    <col min="10" max="10" width="20.33203125" style="1" hidden="1" customWidth="1"/>
    <col min="11" max="11" width="17.6640625" style="1" hidden="1" customWidth="1"/>
    <col min="12" max="13" width="23.1640625" style="1" hidden="1" customWidth="1"/>
    <col min="14" max="14" width="12" style="1" hidden="1" customWidth="1"/>
    <col min="15" max="15" width="21.1640625" style="1" hidden="1" customWidth="1"/>
    <col min="16" max="16" width="11.5" style="55" hidden="1" customWidth="1"/>
    <col min="17" max="17" width="11.5" style="50" hidden="1" customWidth="1"/>
    <col min="18" max="18" width="11.5" style="59" hidden="1" customWidth="1"/>
    <col min="19" max="20" width="11.5" style="55" hidden="1" customWidth="1"/>
    <col min="21" max="21" width="16.33203125" style="55" hidden="1" customWidth="1"/>
    <col min="22" max="24" width="11.5" style="1" hidden="1" customWidth="1"/>
    <col min="25" max="25" width="17.33203125" style="1" hidden="1" customWidth="1"/>
    <col min="26" max="26" width="11.5" style="1" hidden="1" customWidth="1"/>
    <col min="27" max="27" width="20.5" style="1" hidden="1" customWidth="1"/>
    <col min="28" max="29" width="11.5" style="2" hidden="1" customWidth="1"/>
    <col min="30" max="30" width="51.5" style="2" hidden="1" customWidth="1"/>
    <col min="31" max="32" width="11.5" style="2" hidden="1" customWidth="1"/>
    <col min="33" max="33" width="5.83203125" style="1" hidden="1" customWidth="1"/>
    <col min="34" max="34" width="218.1640625" style="2" hidden="1" customWidth="1"/>
    <col min="35" max="16384" width="11.5" style="2"/>
  </cols>
  <sheetData>
    <row r="1" spans="1:34" ht="18" x14ac:dyDescent="0.2">
      <c r="A1" s="11" t="s">
        <v>82</v>
      </c>
      <c r="C1" s="20"/>
      <c r="D1" s="31"/>
      <c r="P1" s="52" t="s">
        <v>0</v>
      </c>
      <c r="Q1" s="48" t="s">
        <v>1</v>
      </c>
      <c r="R1" s="57" t="s">
        <v>123</v>
      </c>
      <c r="S1" s="61" t="s">
        <v>2</v>
      </c>
      <c r="T1" s="61" t="s">
        <v>3</v>
      </c>
      <c r="U1" s="61" t="s">
        <v>163</v>
      </c>
      <c r="AB1"/>
      <c r="AH1" s="1" t="s">
        <v>4</v>
      </c>
    </row>
    <row r="2" spans="1:34" ht="18" x14ac:dyDescent="0.2">
      <c r="A2" s="12" t="s">
        <v>83</v>
      </c>
      <c r="C2" s="21"/>
      <c r="D2" s="32"/>
      <c r="P2" s="53" t="s">
        <v>5</v>
      </c>
      <c r="Q2" s="49" t="s">
        <v>6</v>
      </c>
      <c r="R2" s="58">
        <v>9</v>
      </c>
      <c r="S2" s="62"/>
      <c r="T2" s="62"/>
      <c r="U2" s="62"/>
      <c r="AB2"/>
      <c r="AH2" s="1" t="s">
        <v>199</v>
      </c>
    </row>
    <row r="3" spans="1:34" ht="18" x14ac:dyDescent="0.2">
      <c r="A3" s="12" t="s">
        <v>130</v>
      </c>
      <c r="C3" s="20"/>
      <c r="D3" s="31"/>
      <c r="P3" s="53"/>
      <c r="Q3" s="49"/>
      <c r="R3" s="58"/>
      <c r="S3" s="62"/>
      <c r="T3" s="62"/>
      <c r="U3" s="62"/>
      <c r="AB3"/>
      <c r="AH3" s="1" t="s">
        <v>200</v>
      </c>
    </row>
    <row r="4" spans="1:34" ht="18" x14ac:dyDescent="0.2">
      <c r="A4" s="12" t="s">
        <v>167</v>
      </c>
      <c r="C4" s="20"/>
      <c r="D4" s="31"/>
      <c r="P4" s="53"/>
      <c r="Q4" s="49"/>
      <c r="R4" s="58"/>
      <c r="S4" s="54" t="s">
        <v>19</v>
      </c>
      <c r="T4" s="62"/>
      <c r="U4" s="62"/>
      <c r="AB4"/>
      <c r="AH4" s="1"/>
    </row>
    <row r="5" spans="1:34" x14ac:dyDescent="0.2">
      <c r="A5" s="2" t="s">
        <v>7</v>
      </c>
      <c r="P5" s="54" t="s">
        <v>51</v>
      </c>
      <c r="Q5" s="49" t="s">
        <v>9</v>
      </c>
      <c r="R5" s="58">
        <v>5</v>
      </c>
      <c r="S5" s="53" t="s">
        <v>10</v>
      </c>
      <c r="T5" s="53" t="s">
        <v>10</v>
      </c>
      <c r="U5" s="54" t="s">
        <v>147</v>
      </c>
      <c r="AB5"/>
      <c r="AH5" s="1" t="s">
        <v>201</v>
      </c>
    </row>
    <row r="6" spans="1:34" x14ac:dyDescent="0.2">
      <c r="A6" s="2" t="str">
        <f>$AD$36</f>
        <v/>
      </c>
      <c r="C6" s="3"/>
      <c r="D6" s="3"/>
      <c r="P6" s="54" t="s">
        <v>53</v>
      </c>
      <c r="Q6" s="49" t="s">
        <v>12</v>
      </c>
      <c r="R6" s="58">
        <v>6</v>
      </c>
      <c r="S6" s="53" t="s">
        <v>53</v>
      </c>
      <c r="T6" s="53" t="s">
        <v>14</v>
      </c>
      <c r="U6" s="54" t="s">
        <v>148</v>
      </c>
      <c r="AB6"/>
      <c r="AH6" s="1" t="s">
        <v>202</v>
      </c>
    </row>
    <row r="7" spans="1:34" x14ac:dyDescent="0.2">
      <c r="A7" s="2" t="s">
        <v>15</v>
      </c>
      <c r="C7" s="26" t="s">
        <v>143</v>
      </c>
      <c r="D7" s="33"/>
      <c r="P7" s="53" t="s">
        <v>46</v>
      </c>
      <c r="Q7" s="49" t="s">
        <v>17</v>
      </c>
      <c r="R7" s="58">
        <v>3</v>
      </c>
      <c r="S7" s="53" t="s">
        <v>18</v>
      </c>
      <c r="T7" s="54" t="s">
        <v>19</v>
      </c>
      <c r="U7" s="54" t="s">
        <v>149</v>
      </c>
      <c r="AB7"/>
      <c r="AH7" s="1" t="s">
        <v>203</v>
      </c>
    </row>
    <row r="8" spans="1:34" x14ac:dyDescent="0.2">
      <c r="A8" s="2" t="str">
        <f>IF($C$7="Joint","With what other field?","")</f>
        <v/>
      </c>
      <c r="C8" s="35"/>
      <c r="D8" s="29"/>
      <c r="P8" s="53" t="s">
        <v>49</v>
      </c>
      <c r="Q8" s="49"/>
      <c r="R8" s="58"/>
      <c r="S8" s="54" t="s">
        <v>81</v>
      </c>
      <c r="T8" s="54"/>
      <c r="U8" s="54" t="s">
        <v>150</v>
      </c>
      <c r="AB8"/>
      <c r="AH8" s="1" t="s">
        <v>204</v>
      </c>
    </row>
    <row r="9" spans="1:34" x14ac:dyDescent="0.2">
      <c r="A9" s="2" t="str">
        <f>IF($C$7="Joint","Is CS Primary or Allied? Choose from menu","")</f>
        <v/>
      </c>
      <c r="C9" s="36"/>
      <c r="D9" s="30"/>
      <c r="P9" s="54" t="s">
        <v>182</v>
      </c>
      <c r="Q9" s="49" t="s">
        <v>24</v>
      </c>
      <c r="R9" s="58">
        <v>3</v>
      </c>
      <c r="S9" s="53" t="s">
        <v>25</v>
      </c>
      <c r="T9" s="62"/>
      <c r="U9" s="54" t="s">
        <v>151</v>
      </c>
      <c r="AB9"/>
      <c r="AH9" s="1" t="s">
        <v>127</v>
      </c>
    </row>
    <row r="10" spans="1:34" x14ac:dyDescent="0.2">
      <c r="A10" s="4" t="s">
        <v>21</v>
      </c>
      <c r="B10" s="4" t="s">
        <v>22</v>
      </c>
      <c r="C10" s="4" t="s">
        <v>162</v>
      </c>
      <c r="D10" s="4" t="s">
        <v>161</v>
      </c>
      <c r="J10" s="13" t="s">
        <v>84</v>
      </c>
      <c r="K10" s="13" t="s">
        <v>85</v>
      </c>
      <c r="L10" s="13" t="s">
        <v>205</v>
      </c>
      <c r="M10" s="13" t="s">
        <v>218</v>
      </c>
      <c r="N10" s="13" t="s">
        <v>86</v>
      </c>
      <c r="O10" s="13" t="s">
        <v>87</v>
      </c>
      <c r="P10" s="53" t="s">
        <v>8</v>
      </c>
      <c r="Q10" s="49" t="s">
        <v>27</v>
      </c>
      <c r="R10" s="58">
        <v>4</v>
      </c>
      <c r="S10" s="53" t="s">
        <v>28</v>
      </c>
      <c r="T10" s="62"/>
      <c r="U10" s="54" t="s">
        <v>152</v>
      </c>
      <c r="Z10" s="42"/>
      <c r="AA10" s="42"/>
      <c r="AB10"/>
      <c r="AC10" s="22" t="s">
        <v>137</v>
      </c>
      <c r="AD10" s="22" t="s">
        <v>136</v>
      </c>
      <c r="AE10" s="22" t="s">
        <v>139</v>
      </c>
    </row>
    <row r="11" spans="1:34" x14ac:dyDescent="0.2">
      <c r="A11" s="41" t="s">
        <v>194</v>
      </c>
      <c r="B11" s="43"/>
      <c r="C11" s="45" t="s">
        <v>195</v>
      </c>
      <c r="D11" s="45"/>
      <c r="J11" s="15" t="str">
        <f>UPPER(SUBSTITUTE(IF($C11="None","",$C11), " ", ""))</f>
        <v/>
      </c>
      <c r="K11" s="16" t="b">
        <f>AND(J11&lt;&gt;"",COUNTIF(J11:J$29,J11)&gt;1,OR(RIGHT(J11)&lt;&gt;"R",J11="CS91R"))</f>
        <v>0</v>
      </c>
      <c r="L11" s="46"/>
      <c r="M11" s="46"/>
      <c r="N11" s="15">
        <f>IF(O11&lt;&gt;0,VLOOKUP($B11,$Z$32:$AA$42,2,FALSE), 0)</f>
        <v>0</v>
      </c>
      <c r="O11" s="15">
        <f>IF(AND($B11&lt;&gt;"",$B11&lt;&gt;"SAT",$B11&lt;&gt;"SEM"),1,0)</f>
        <v>0</v>
      </c>
      <c r="P11" s="55" t="s">
        <v>231</v>
      </c>
      <c r="Q11" s="49" t="s">
        <v>31</v>
      </c>
      <c r="R11" s="58">
        <v>4</v>
      </c>
      <c r="S11" s="53" t="s">
        <v>32</v>
      </c>
      <c r="T11" s="62"/>
      <c r="U11" s="54" t="s">
        <v>153</v>
      </c>
      <c r="Z11" s="18"/>
      <c r="AA11" s="18"/>
      <c r="AB11"/>
      <c r="AC11" s="47" t="b">
        <f>OR($K$11:$K$29)</f>
        <v>0</v>
      </c>
      <c r="AD11" s="2" t="s">
        <v>138</v>
      </c>
      <c r="AE11" s="23" t="s">
        <v>173</v>
      </c>
    </row>
    <row r="12" spans="1:34" x14ac:dyDescent="0.2">
      <c r="A12" s="41" t="s">
        <v>194</v>
      </c>
      <c r="B12" s="43"/>
      <c r="C12" s="45" t="s">
        <v>195</v>
      </c>
      <c r="D12" s="45"/>
      <c r="J12" s="15" t="str">
        <f>UPPER(SUBSTITUTE(IF($C12="None","",$C12), " ", ""))</f>
        <v/>
      </c>
      <c r="K12" s="16" t="b">
        <f>AND(J12&lt;&gt;"",COUNTIF(J12:J$29,J12)&gt;1,OR(RIGHT(J12)&lt;&gt;"R",J12="CS91R"))</f>
        <v>0</v>
      </c>
      <c r="L12" s="46"/>
      <c r="M12" s="46"/>
      <c r="N12" s="15">
        <f t="shared" ref="N12:N29" si="0">IF(O12&lt;&gt;0,VLOOKUP($B12,$Z$32:$AA$42,2,FALSE), 0)</f>
        <v>0</v>
      </c>
      <c r="O12" s="15">
        <f t="shared" ref="O12:O29" si="1">IF(AND($B12&lt;&gt;"",$B12&lt;&gt;"SAT",$B12&lt;&gt;"SEM"),1,0)</f>
        <v>0</v>
      </c>
      <c r="P12" s="53" t="s">
        <v>11</v>
      </c>
      <c r="Q12" s="50" t="s">
        <v>216</v>
      </c>
      <c r="R12" s="59">
        <v>4</v>
      </c>
      <c r="S12" s="53" t="s">
        <v>35</v>
      </c>
      <c r="T12" s="62"/>
      <c r="U12" s="54" t="s">
        <v>154</v>
      </c>
      <c r="Z12" s="18"/>
      <c r="AA12" s="18"/>
      <c r="AB12"/>
      <c r="AC12" s="47" t="b">
        <f>AND(COUNTIF($J$11:$J$29,"CS125")&gt;0,OR(COUNTIF($J$11:$J$29,"CS121")&gt;0,COUNTIF($J$11:$J$29,"CS124")&gt;0))</f>
        <v>0</v>
      </c>
      <c r="AD12" s="2" t="s">
        <v>166</v>
      </c>
      <c r="AE12" s="24" t="s">
        <v>173</v>
      </c>
    </row>
    <row r="13" spans="1:34" x14ac:dyDescent="0.2">
      <c r="A13" s="41" t="str">
        <f>IF(ISNUMBER(SEARCH("Math M",CONCATENATE($C$11,$C$12))),"Math preparation","")</f>
        <v/>
      </c>
      <c r="B13" s="44"/>
      <c r="C13" s="44"/>
      <c r="D13" s="44"/>
      <c r="J13" s="15" t="str">
        <f>UPPER(SUBSTITUTE(IF($C13="None","",$C13), " ", ""))</f>
        <v/>
      </c>
      <c r="K13" s="16" t="b">
        <f>AND(J13&lt;&gt;"",COUNTIF(J13:J$29,J13)&gt;1,OR(RIGHT(J13)&lt;&gt;"R",J13="CS91R"))</f>
        <v>0</v>
      </c>
      <c r="L13" s="46"/>
      <c r="M13" s="46"/>
      <c r="N13" s="15">
        <f t="shared" si="0"/>
        <v>0</v>
      </c>
      <c r="O13" s="15">
        <f t="shared" si="1"/>
        <v>0</v>
      </c>
      <c r="P13" s="53" t="s">
        <v>16</v>
      </c>
      <c r="Q13" s="49" t="s">
        <v>34</v>
      </c>
      <c r="R13" s="58">
        <v>4</v>
      </c>
      <c r="S13" s="53" t="s">
        <v>39</v>
      </c>
      <c r="T13" s="62"/>
      <c r="U13" s="54" t="s">
        <v>158</v>
      </c>
      <c r="Z13" s="18"/>
      <c r="AA13" s="18"/>
      <c r="AB13"/>
      <c r="AC13" s="47" t="b">
        <f>AND($C$7&lt;&gt;"Basic", LEFT($J$14,14)="MATH1A+1B+CS20")</f>
        <v>0</v>
      </c>
      <c r="AD13" s="2" t="s">
        <v>140</v>
      </c>
      <c r="AE13" s="23" t="s">
        <v>174</v>
      </c>
    </row>
    <row r="14" spans="1:34" x14ac:dyDescent="0.2">
      <c r="A14" s="2" t="s">
        <v>164</v>
      </c>
      <c r="B14" s="7"/>
      <c r="C14" s="26"/>
      <c r="D14" s="26"/>
      <c r="E14" s="5" t="str">
        <f>IF(C14="Other","  What course?","")</f>
        <v/>
      </c>
      <c r="F14" s="6"/>
      <c r="J14" s="15" t="str">
        <f>UPPER(SUBSTITUTE(IF($C14="Other",$F14,$C14), " ", ""))</f>
        <v/>
      </c>
      <c r="K14" s="16" t="b">
        <f>AND(J14&lt;&gt;"",COUNTIF(J14:J$29,J14)&gt;1,OR(RIGHT(J14)&lt;&gt;"R",J14="CS91R"))</f>
        <v>0</v>
      </c>
      <c r="L14" s="46"/>
      <c r="M14" s="46"/>
      <c r="N14" s="15">
        <f t="shared" si="0"/>
        <v>0</v>
      </c>
      <c r="O14" s="15">
        <f t="shared" si="1"/>
        <v>0</v>
      </c>
      <c r="P14" s="54" t="s">
        <v>61</v>
      </c>
      <c r="Q14" s="50" t="s">
        <v>181</v>
      </c>
      <c r="R14" s="59">
        <v>4</v>
      </c>
      <c r="S14" s="53" t="s">
        <v>131</v>
      </c>
      <c r="T14" s="62"/>
      <c r="U14" s="54" t="s">
        <v>156</v>
      </c>
      <c r="Z14" s="18"/>
      <c r="AA14" s="18"/>
      <c r="AB14"/>
      <c r="AC14" s="47" t="b">
        <f>AND($C$3&lt;&gt;"Junior",$C$3&lt;&gt;"Senior",LEFT($J$14,14)="MATH1A+1B+CS20")</f>
        <v>0</v>
      </c>
      <c r="AD14" t="s">
        <v>141</v>
      </c>
      <c r="AE14" s="24" t="s">
        <v>174</v>
      </c>
    </row>
    <row r="15" spans="1:34" x14ac:dyDescent="0.2">
      <c r="A15" s="2" t="s">
        <v>29</v>
      </c>
      <c r="B15" s="7"/>
      <c r="C15" s="26"/>
      <c r="D15" s="25"/>
      <c r="E15" s="5" t="str">
        <f>IF(C15="Other","  What course?","")</f>
        <v/>
      </c>
      <c r="F15" s="6"/>
      <c r="J15" s="15" t="str">
        <f>UPPER(SUBSTITUTE(IF($C15="Other",$F15,$C15), " ", ""))</f>
        <v/>
      </c>
      <c r="K15" s="16" t="b">
        <f>AND(J15&lt;&gt;"",COUNTIF(J15:J$29,J15)&gt;1,OR(RIGHT(J15)&lt;&gt;"R",J15="CS91R"))</f>
        <v>0</v>
      </c>
      <c r="L15" s="46"/>
      <c r="M15" s="46"/>
      <c r="N15" s="15">
        <f t="shared" si="0"/>
        <v>0</v>
      </c>
      <c r="O15" s="15">
        <f t="shared" si="1"/>
        <v>0</v>
      </c>
      <c r="P15" s="54" t="s">
        <v>63</v>
      </c>
      <c r="Q15" s="49" t="s">
        <v>38</v>
      </c>
      <c r="R15" s="58">
        <v>4</v>
      </c>
      <c r="S15" s="55" t="s">
        <v>229</v>
      </c>
      <c r="T15" s="62"/>
      <c r="U15" s="54" t="s">
        <v>155</v>
      </c>
      <c r="Z15" s="18"/>
      <c r="AA15" s="18"/>
      <c r="AB15"/>
      <c r="AC15" s="47" t="b">
        <f>NOT(AND($V$17,$V$18))</f>
        <v>0</v>
      </c>
      <c r="AD15" s="2" t="s">
        <v>186</v>
      </c>
      <c r="AE15" s="23" t="s">
        <v>171</v>
      </c>
    </row>
    <row r="16" spans="1:34" x14ac:dyDescent="0.2">
      <c r="A16" s="2" t="str">
        <f>$AD$37</f>
        <v/>
      </c>
      <c r="B16" s="6"/>
      <c r="C16" s="6"/>
      <c r="D16" s="6"/>
      <c r="E16" s="5"/>
      <c r="F16" s="6"/>
      <c r="J16" s="15"/>
      <c r="K16" s="16" t="b">
        <f>AND(J16&lt;&gt;"",COUNTIF(J16:J$29,J16)&gt;1,OR(RIGHT(J16)&lt;&gt;"R",J16="CS91R"))</f>
        <v>0</v>
      </c>
      <c r="L16" s="46"/>
      <c r="M16" s="46"/>
      <c r="N16" s="15">
        <f t="shared" si="0"/>
        <v>0</v>
      </c>
      <c r="O16" s="15">
        <f t="shared" si="1"/>
        <v>0</v>
      </c>
      <c r="P16" s="54" t="s">
        <v>80</v>
      </c>
      <c r="Q16" s="49" t="s">
        <v>41</v>
      </c>
      <c r="R16" s="58">
        <v>4</v>
      </c>
      <c r="S16" s="53" t="s">
        <v>42</v>
      </c>
      <c r="T16" s="62"/>
      <c r="U16" s="63" t="s">
        <v>159</v>
      </c>
      <c r="Z16" s="18"/>
      <c r="AA16" s="18"/>
      <c r="AB16"/>
      <c r="AC16" s="47" t="b">
        <f>AND(OR($Y$20,$Y$21,$Y$22,$Y$23),$C$7&lt;&gt;"")</f>
        <v>0</v>
      </c>
      <c r="AD16" s="2" t="str">
        <f>_xlfn.CONCAT("Error! This course may not satisfy the breadth requirement! If in doubt, check with the DUS Team",IF($L$23,_xlfn.CONCAT(" ",$J$23),""),IF($L$24,_xlfn.CONCAT(" ",$J$24),""),IF($L$25,_xlfn.CONCAT(" ",$J$25),""))</f>
        <v>Error! This course may not satisfy the breadth requirement! If in doubt, check with the DUS Team</v>
      </c>
      <c r="AE16" s="23" t="s">
        <v>172</v>
      </c>
    </row>
    <row r="17" spans="1:33" x14ac:dyDescent="0.2">
      <c r="A17" s="2" t="s">
        <v>36</v>
      </c>
      <c r="B17" s="7"/>
      <c r="C17" s="26"/>
      <c r="D17" s="26"/>
      <c r="E17" s="5" t="str">
        <f>IF(C17="Other","  What course?","")</f>
        <v/>
      </c>
      <c r="F17" s="6"/>
      <c r="J17" s="15" t="str">
        <f>UPPER(SUBSTITUTE(IF($C17="Other",$F17,$C17), " ", ""))</f>
        <v/>
      </c>
      <c r="K17" s="16" t="b">
        <f>AND(J17&lt;&gt;"",COUNTIF(J17:J$29,J17)&gt;1,OR(RIGHT(J17)&lt;&gt;"R",J17="CS91R"))</f>
        <v>0</v>
      </c>
      <c r="L17" s="46"/>
      <c r="M17" s="46"/>
      <c r="N17" s="15">
        <f>IF(O17&lt;&gt;0,VLOOKUP($B17,$Z$32:$AA$42,2,FALSE), 0)</f>
        <v>0</v>
      </c>
      <c r="O17" s="15">
        <f t="shared" si="1"/>
        <v>0</v>
      </c>
      <c r="P17" s="53" t="s">
        <v>23</v>
      </c>
      <c r="Q17" s="49" t="s">
        <v>44</v>
      </c>
      <c r="R17" s="58">
        <v>5</v>
      </c>
      <c r="S17" s="53" t="s">
        <v>45</v>
      </c>
      <c r="T17" s="62"/>
      <c r="U17" s="63" t="s">
        <v>157</v>
      </c>
      <c r="V17" s="34" t="b">
        <f>OR(J20="",AND($C$7="MBB",$J20&lt;&gt;"",COUNTIF($T$3:$T$101,J20)&gt;0),AND($C$7&lt;&gt;"MBB",J20&lt;&gt;"",COUNTIF($S$3:$S$101,J20)&gt;0))</f>
        <v>1</v>
      </c>
      <c r="Y17" s="15" t="b">
        <f>AND($I$23&lt;&gt;"",$I$24&lt;&gt;"",OR($I$23=$I$24,$I$23=$I$25,$I$24=$I$25))</f>
        <v>0</v>
      </c>
      <c r="Z17" s="18"/>
      <c r="AA17" s="18"/>
      <c r="AB17"/>
      <c r="AC17" s="47" t="b">
        <f>AND($C$7="MBB",$J$25&lt;&gt;"",$J$25&lt;&gt;"MCB80",$J$25&lt;&gt;"MCB81",$J$25&lt;&gt;"Other")</f>
        <v>0</v>
      </c>
      <c r="AD17" s="2" t="s">
        <v>144</v>
      </c>
      <c r="AE17" s="24" t="s">
        <v>172</v>
      </c>
    </row>
    <row r="18" spans="1:33" x14ac:dyDescent="0.2">
      <c r="A18" s="2" t="s">
        <v>40</v>
      </c>
      <c r="B18" s="7"/>
      <c r="C18" s="26"/>
      <c r="D18" s="26"/>
      <c r="E18" s="5" t="str">
        <f>IF(C18="Other","  What course?","")</f>
        <v/>
      </c>
      <c r="F18" s="6"/>
      <c r="J18" s="15" t="str">
        <f>UPPER(SUBSTITUTE(IF($C18="Other",$F18,$C18), " ", ""))</f>
        <v/>
      </c>
      <c r="K18" s="16" t="b">
        <f>AND(J18&lt;&gt;"",COUNTIF(J18:J$29,J18)&gt;1,OR(RIGHT(J18)&lt;&gt;"R",J18="CS91R"))</f>
        <v>0</v>
      </c>
      <c r="L18" s="46"/>
      <c r="M18" s="46"/>
      <c r="N18" s="15">
        <f>IF(O18&lt;&gt;0,VLOOKUP($B18,$Z$32:$AA$42,2,FALSE), 0)</f>
        <v>0</v>
      </c>
      <c r="O18" s="15">
        <f t="shared" si="1"/>
        <v>0</v>
      </c>
      <c r="P18" s="53" t="s">
        <v>26</v>
      </c>
      <c r="Q18" s="49" t="s">
        <v>47</v>
      </c>
      <c r="R18" s="58">
        <v>5</v>
      </c>
      <c r="S18" s="53" t="s">
        <v>48</v>
      </c>
      <c r="T18" s="62"/>
      <c r="U18" s="63" t="s">
        <v>160</v>
      </c>
      <c r="V18" s="15" t="b">
        <f>OR(J21="",AND($C$7="MBB",J21&lt;&gt;"", COUNTIF($T$3:$T$101,J21)&gt;0),AND($C$7&lt;&gt;"MBB",J21&lt;&gt;"",COUNTIF($S$3:$S$101,J21)&gt;0))</f>
        <v>1</v>
      </c>
      <c r="Y18" s="15" t="b">
        <f>AND($I$23&lt;&gt;"",$I$24&lt;&gt;"",$I$25&lt;&gt;"",OR($I$23=$I$24,$I$23=$I$25,$I$24=$I$25))</f>
        <v>0</v>
      </c>
      <c r="Z18" s="18"/>
      <c r="AA18" s="18"/>
      <c r="AB18"/>
      <c r="AC18" s="47" t="b">
        <f>($J$21="CS229R")</f>
        <v>0</v>
      </c>
      <c r="AD18" s="2" t="s">
        <v>168</v>
      </c>
      <c r="AE18" s="23" t="s">
        <v>171</v>
      </c>
    </row>
    <row r="19" spans="1:33" x14ac:dyDescent="0.2">
      <c r="A19" s="40" t="str">
        <f>$AD$40</f>
        <v/>
      </c>
      <c r="B19" s="6"/>
      <c r="C19" s="6"/>
      <c r="D19" s="6"/>
      <c r="E19" s="27"/>
      <c r="F19" s="6"/>
      <c r="J19" s="15" t="str">
        <f>UPPER(SUBSTITUTE($C19," ",""))</f>
        <v/>
      </c>
      <c r="K19" s="16" t="b">
        <f>AND(J19&lt;&gt;"",COUNTIF(J19:J$29,J19)&gt;1,OR(RIGHT(J19)&lt;&gt;"R",J19="CS91R"))</f>
        <v>0</v>
      </c>
      <c r="L19" s="46"/>
      <c r="M19" s="46"/>
      <c r="N19" s="15">
        <f>IF(O19&lt;&gt;0,VLOOKUP($B19,$Z$32:$AA$42,2,FALSE), 0)</f>
        <v>0</v>
      </c>
      <c r="O19" s="15">
        <f t="shared" si="1"/>
        <v>0</v>
      </c>
      <c r="P19" s="53" t="s">
        <v>215</v>
      </c>
      <c r="Q19" s="49" t="s">
        <v>50</v>
      </c>
      <c r="R19" s="58">
        <v>6</v>
      </c>
      <c r="S19" s="53" t="s">
        <v>13</v>
      </c>
      <c r="T19" s="62"/>
      <c r="U19" s="63" t="s">
        <v>220</v>
      </c>
      <c r="Z19" s="18"/>
      <c r="AA19" s="18"/>
      <c r="AB19"/>
      <c r="AC19" s="47" t="b">
        <f>AND($J$21="AM106",$C$3&lt;&gt;"Senior")</f>
        <v>0</v>
      </c>
      <c r="AD19" s="2" t="s">
        <v>178</v>
      </c>
      <c r="AE19" s="24" t="s">
        <v>171</v>
      </c>
    </row>
    <row r="20" spans="1:33" x14ac:dyDescent="0.2">
      <c r="A20" s="2" t="s">
        <v>169</v>
      </c>
      <c r="B20" s="7"/>
      <c r="C20" s="26"/>
      <c r="D20" s="26"/>
      <c r="E20" s="5" t="str">
        <f>IF(C20="Other","  What course?","")</f>
        <v/>
      </c>
      <c r="F20" s="6"/>
      <c r="J20" s="15" t="str">
        <f>UPPER(SUBSTITUTE(IF($C20="Other",$F20,$C20), " ", ""))</f>
        <v/>
      </c>
      <c r="K20" s="16" t="b">
        <f>AND(J20&lt;&gt;"",COUNTIF(J20:J$29,J20)&gt;1,OR(RIGHT(J20)&lt;&gt;"R",J20="CS91R"))</f>
        <v>0</v>
      </c>
      <c r="L20" s="46"/>
      <c r="M20" s="46"/>
      <c r="N20" s="15">
        <f t="shared" si="0"/>
        <v>0</v>
      </c>
      <c r="O20" s="15">
        <f t="shared" si="1"/>
        <v>0</v>
      </c>
      <c r="P20" s="53" t="s">
        <v>30</v>
      </c>
      <c r="Q20" s="49" t="s">
        <v>52</v>
      </c>
      <c r="R20" s="58">
        <v>6</v>
      </c>
      <c r="U20" s="55" t="s">
        <v>222</v>
      </c>
      <c r="Y20" s="17" t="b">
        <f>AND($C$7="Basic",OR(AND($J$23&lt;&gt;"",$L$23),AND($J$24&lt;&gt;"",$L$24)))</f>
        <v>0</v>
      </c>
      <c r="Z20" s="18"/>
      <c r="AA20" s="18"/>
      <c r="AB20"/>
      <c r="AC20" s="47" t="b">
        <f>AND(ISNUMBER(SEARCH("CS51",_xlfn.CONCAT($J$17:$J$18))), ISNUMBER(SEARCH("CS15",_xlfn.CONCAT($J$17:$J$18))))</f>
        <v>0</v>
      </c>
      <c r="AD20" s="2" t="s">
        <v>190</v>
      </c>
      <c r="AE20" s="23" t="s">
        <v>189</v>
      </c>
    </row>
    <row r="21" spans="1:33" x14ac:dyDescent="0.2">
      <c r="A21" s="2" t="s">
        <v>170</v>
      </c>
      <c r="B21" s="7"/>
      <c r="C21" s="8"/>
      <c r="D21" s="8"/>
      <c r="E21" s="5"/>
      <c r="F21" s="6"/>
      <c r="J21" s="15" t="str">
        <f t="shared" ref="J21:J31" si="2">UPPER(SUBSTITUTE($C21," ",""))</f>
        <v/>
      </c>
      <c r="K21" s="16" t="b">
        <f>AND(J21&lt;&gt;"",COUNTIF(J21:J$29,J21)&gt;1,OR(RIGHT(J21)&lt;&gt;"R",J21="CS91R"))</f>
        <v>0</v>
      </c>
      <c r="L21" s="46"/>
      <c r="M21" s="46"/>
      <c r="N21" s="15">
        <f t="shared" si="0"/>
        <v>0</v>
      </c>
      <c r="O21" s="15">
        <f t="shared" si="1"/>
        <v>0</v>
      </c>
      <c r="P21" s="53" t="s">
        <v>55</v>
      </c>
      <c r="Q21" s="49" t="s">
        <v>56</v>
      </c>
      <c r="R21" s="58">
        <v>6</v>
      </c>
      <c r="S21" s="53"/>
      <c r="U21" s="55" t="s">
        <v>221</v>
      </c>
      <c r="Y21" s="15" t="b">
        <f>AND($C$7="Honors",OR(AND(J23&lt;&gt;"",$L$23),AND(J24&lt;&gt;"",$L$24),AND(J25&lt;&gt;"",$L$25)))</f>
        <v>0</v>
      </c>
      <c r="Z21" s="18"/>
      <c r="AA21" s="18"/>
      <c r="AB21"/>
      <c r="AC21" s="47" t="b">
        <f>AND(ISNUMBER(SEARCH("CS61",_xlfn.CONCAT($J$17:$J$18))), ISNUMBER(SEARCH("CS16",_xlfn.CONCAT($J$17:$J$18))))</f>
        <v>0</v>
      </c>
      <c r="AD21" s="2" t="s">
        <v>191</v>
      </c>
      <c r="AE21" s="23" t="s">
        <v>189</v>
      </c>
    </row>
    <row r="22" spans="1:33" x14ac:dyDescent="0.2">
      <c r="A22" s="2" t="str">
        <f>$AD$38</f>
        <v/>
      </c>
      <c r="B22" s="6"/>
      <c r="C22" s="6"/>
      <c r="D22" s="6"/>
      <c r="E22" s="5"/>
      <c r="F22" s="6"/>
      <c r="J22" s="15" t="str">
        <f t="shared" si="2"/>
        <v/>
      </c>
      <c r="K22" s="16" t="b">
        <f>AND(J22&lt;&gt;"",COUNTIF(J22:J$29,J22)&gt;1,OR(RIGHT(J22)&lt;&gt;"R",J22="CS91R"))</f>
        <v>0</v>
      </c>
      <c r="L22" s="46"/>
      <c r="M22" s="46"/>
      <c r="N22" s="15">
        <f t="shared" si="0"/>
        <v>0</v>
      </c>
      <c r="O22" s="15">
        <f t="shared" si="1"/>
        <v>0</v>
      </c>
      <c r="P22" s="53" t="s">
        <v>6</v>
      </c>
      <c r="Q22" s="49" t="s">
        <v>58</v>
      </c>
      <c r="R22" s="58">
        <v>7</v>
      </c>
      <c r="S22" s="53"/>
      <c r="U22" s="55" t="s">
        <v>224</v>
      </c>
      <c r="Y22" s="17" t="b">
        <f>AND($C$7="Joint",OR(AND(J23&lt;&gt;"",$M$23),AND(J24&lt;&gt;"",$M$24),AND(J25&lt;&gt;"",$M$25)))</f>
        <v>0</v>
      </c>
      <c r="Z22" s="18"/>
      <c r="AA22" s="18"/>
      <c r="AB22"/>
      <c r="AC22" s="47" t="b">
        <f>AND(ISNUMBER(SEARCH("CS15",$J$17)), ISNUMBER(SEARCH("CS15",$J$18)))</f>
        <v>0</v>
      </c>
      <c r="AD22" s="2" t="s">
        <v>192</v>
      </c>
      <c r="AE22" s="23" t="s">
        <v>189</v>
      </c>
    </row>
    <row r="23" spans="1:33" x14ac:dyDescent="0.2">
      <c r="A23" s="2" t="s">
        <v>54</v>
      </c>
      <c r="B23" s="7"/>
      <c r="C23" s="8"/>
      <c r="D23" s="26"/>
      <c r="E23" s="5"/>
      <c r="F23" s="6"/>
      <c r="I23" s="14" t="str">
        <f>IF(LEN($J23)=0,"",IF(COUNTIF($Q$2:$Q$101,$J23)&gt;0,VLOOKUP($J23,$Q$2:$R$101, 2,FALSE),"X"))</f>
        <v/>
      </c>
      <c r="J23" s="15" t="str">
        <f t="shared" si="2"/>
        <v/>
      </c>
      <c r="K23" s="16" t="b">
        <f>AND(J23&lt;&gt;"",COUNTIF(J23:J$29,J23)&gt;1,OR(RIGHT(J23)&lt;&gt;"R",J23="CS91R"))</f>
        <v>0</v>
      </c>
      <c r="L23" s="16" t="b">
        <f>COUNTIF($Q$3:$Q$101,$J23)=0</f>
        <v>0</v>
      </c>
      <c r="M23" s="16" t="b">
        <f>COUNTIF($Q$2:$Q$101,$J23)=0</f>
        <v>0</v>
      </c>
      <c r="N23" s="15">
        <f t="shared" si="0"/>
        <v>0</v>
      </c>
      <c r="O23" s="15">
        <f t="shared" si="1"/>
        <v>0</v>
      </c>
      <c r="P23" s="53" t="s">
        <v>33</v>
      </c>
      <c r="Q23" s="49" t="s">
        <v>60</v>
      </c>
      <c r="R23" s="58">
        <v>7</v>
      </c>
      <c r="S23" s="53"/>
      <c r="U23" s="55" t="s">
        <v>223</v>
      </c>
      <c r="Y23" s="15" t="b">
        <f>AND($C$7="MBB",OR(AND($J$23&lt;&gt;"",$L$23),AND($J$24&lt;&gt;"",$L$24)))</f>
        <v>0</v>
      </c>
      <c r="Z23" s="18"/>
      <c r="AA23" s="18"/>
      <c r="AB23"/>
      <c r="AC23" s="47" t="b">
        <f>AND(ISNUMBER(SEARCH("CS16",$J$17)), ISNUMBER(SEARCH("CS16",$J$18)))</f>
        <v>0</v>
      </c>
      <c r="AD23" s="2" t="s">
        <v>193</v>
      </c>
      <c r="AE23" s="23" t="s">
        <v>189</v>
      </c>
    </row>
    <row r="24" spans="1:33" x14ac:dyDescent="0.2">
      <c r="A24" s="2" t="s">
        <v>57</v>
      </c>
      <c r="B24" s="7"/>
      <c r="C24" s="25"/>
      <c r="D24" s="26"/>
      <c r="E24" s="5"/>
      <c r="F24" s="6"/>
      <c r="I24" s="14" t="str">
        <f>IF(LEN($J24)=0,"",IF(COUNTIF($Q$2:$Q$101,$J24)&gt;0,VLOOKUP($J24,$Q$2:$R$101, 2,FALSE),"X"))</f>
        <v/>
      </c>
      <c r="J24" s="15" t="str">
        <f t="shared" si="2"/>
        <v/>
      </c>
      <c r="K24" s="16" t="b">
        <f>AND(J24&lt;&gt;"",COUNTIF(J24:J$29,J24)&gt;1,OR(RIGHT(J24)&lt;&gt;"R",J24="CS91R"))</f>
        <v>0</v>
      </c>
      <c r="L24" s="16" t="b">
        <f t="shared" ref="L24:L25" si="3">COUNTIF($Q$3:$Q$101,$J24)=0</f>
        <v>0</v>
      </c>
      <c r="M24" s="16" t="b">
        <f>COUNTIF($Q$2:$Q$101,$J24)=0</f>
        <v>0</v>
      </c>
      <c r="N24" s="15">
        <f t="shared" si="0"/>
        <v>0</v>
      </c>
      <c r="O24" s="15">
        <f t="shared" si="1"/>
        <v>0</v>
      </c>
      <c r="P24" s="54" t="s">
        <v>134</v>
      </c>
      <c r="Q24" s="49" t="s">
        <v>62</v>
      </c>
      <c r="R24" s="58">
        <v>7</v>
      </c>
      <c r="S24" s="62"/>
      <c r="U24" s="55" t="s">
        <v>225</v>
      </c>
      <c r="W24" s="15" t="b">
        <f>OR(J27="",COUNTIF($P$2:$P$101,J27)&gt;0,COUNTIF($Q$2:$Q$101,J27)&gt;0,COUNTIF($S$3:$S$101,J27)&gt;0)</f>
        <v>1</v>
      </c>
      <c r="X24" s="15" t="b">
        <f>OR(J27="",COUNTIF($P$2:$P$101,J27)&gt;0,COUNTIF($Q$2:$Q$101,J27)&gt;0,COUNTIF($S$5:$S$101,J27)&gt;0)</f>
        <v>1</v>
      </c>
      <c r="Y24" s="15" t="b">
        <f>IF($C$7="Basic",W24,IF($C$7="Honors",X24,1))</f>
        <v>1</v>
      </c>
      <c r="Z24" s="18"/>
      <c r="AA24" s="18"/>
      <c r="AB24"/>
      <c r="AC24" s="47" t="b">
        <f>OR($Y$17,$Y$18)</f>
        <v>0</v>
      </c>
      <c r="AD24" s="2" t="s">
        <v>206</v>
      </c>
      <c r="AE24" s="23" t="s">
        <v>172</v>
      </c>
    </row>
    <row r="25" spans="1:33" x14ac:dyDescent="0.2">
      <c r="A25" s="2" t="str">
        <f>IF(OR($C$7="Joint",$C$7="Honors"),"Breadth, third course",IF($C$7="MBB","Enter MCB80, MCB81, or Other",""))</f>
        <v/>
      </c>
      <c r="B25" s="6"/>
      <c r="C25" s="6"/>
      <c r="D25" s="6"/>
      <c r="E25" s="5"/>
      <c r="F25" s="6"/>
      <c r="I25" s="14" t="str">
        <f>IF(LEN($J25)=0,"",IF(COUNTIF($Q$2:$Q$101,$J25)&gt;0,VLOOKUP($J25,$Q$2:$R$101, 2,FALSE),"X"))</f>
        <v/>
      </c>
      <c r="J25" s="15" t="str">
        <f t="shared" si="2"/>
        <v/>
      </c>
      <c r="K25" s="16" t="b">
        <f>AND(J25&lt;&gt;"",COUNTIF(J25:J$29,J25)&gt;1,OR(RIGHT(J25)&lt;&gt;"R",J25="CS91R"))</f>
        <v>0</v>
      </c>
      <c r="L25" s="16" t="b">
        <f t="shared" si="3"/>
        <v>0</v>
      </c>
      <c r="M25" s="16" t="b">
        <f>COUNTIF($Q$2:$Q$101,$J25)=0</f>
        <v>0</v>
      </c>
      <c r="N25" s="15">
        <f t="shared" si="0"/>
        <v>0</v>
      </c>
      <c r="O25" s="15">
        <f t="shared" si="1"/>
        <v>0</v>
      </c>
      <c r="P25" s="53" t="s">
        <v>37</v>
      </c>
      <c r="Q25" s="49" t="s">
        <v>64</v>
      </c>
      <c r="R25" s="58">
        <v>8</v>
      </c>
      <c r="S25" s="62"/>
      <c r="U25" s="56" t="s">
        <v>142</v>
      </c>
      <c r="W25" s="15" t="b">
        <f>OR(J28="",COUNTIF($P$2:$P$101,J28)&gt;0,COUNTIF($Q$2:$Q$101,J28)&gt;0,COUNTIF($S$3:$S$101,J28)&gt;0)</f>
        <v>1</v>
      </c>
      <c r="X25" s="15" t="b">
        <f>OR(J28="",COUNTIF($P$2:$P$101,J28)&gt;0,COUNTIF($Q$2:$Q$101,J28)&gt;0,COUNTIF($S$3:$S$101,J28)&gt;0)</f>
        <v>1</v>
      </c>
      <c r="Y25" s="15" t="b">
        <f>IF($C$7="Basic",W25,IF($C$7="Honors",X25,1))</f>
        <v>1</v>
      </c>
      <c r="Z25" s="18"/>
      <c r="AA25" s="18"/>
      <c r="AB25"/>
      <c r="AC25" s="47" t="b">
        <f>AND($C$7="MBB",OR($I$23=8,$I$24=8))</f>
        <v>0</v>
      </c>
      <c r="AD25" s="2" t="s">
        <v>207</v>
      </c>
      <c r="AE25" s="23" t="s">
        <v>172</v>
      </c>
    </row>
    <row r="26" spans="1:33" x14ac:dyDescent="0.2">
      <c r="A26" s="2" t="str">
        <f>$AD$39</f>
        <v/>
      </c>
      <c r="B26" s="6"/>
      <c r="C26" s="6"/>
      <c r="D26" s="6"/>
      <c r="E26" s="5"/>
      <c r="F26" s="6"/>
      <c r="J26" s="15" t="str">
        <f t="shared" si="2"/>
        <v/>
      </c>
      <c r="K26" s="16" t="b">
        <f>AND(J26&lt;&gt;"",COUNTIF(J26:J$29,J26)&gt;1,OR(RIGHT(J26)&lt;&gt;"R",J26="CS91R"))</f>
        <v>0</v>
      </c>
      <c r="L26" s="46"/>
      <c r="M26" s="46"/>
      <c r="N26" s="15">
        <f t="shared" si="0"/>
        <v>0</v>
      </c>
      <c r="O26" s="15">
        <f t="shared" si="1"/>
        <v>0</v>
      </c>
      <c r="P26" s="54" t="s">
        <v>59</v>
      </c>
      <c r="Q26" s="49" t="s">
        <v>65</v>
      </c>
      <c r="R26" s="58">
        <v>8</v>
      </c>
      <c r="S26" s="62"/>
      <c r="U26" s="56"/>
      <c r="X26" s="15" t="b">
        <f>OR(J29="",COUNTIF($P$2:$P$101,J29)&gt;0,COUNTIF($Q$2:$Q$101,J29)&gt;0,COUNTIF($S$3:$S$101,J29)&gt;0)</f>
        <v>1</v>
      </c>
      <c r="Y26" s="15" t="b">
        <f>IF($C$7="Honors",X26,TRUE)</f>
        <v>1</v>
      </c>
      <c r="Z26" s="18"/>
      <c r="AA26" s="18"/>
      <c r="AB26"/>
    </row>
    <row r="27" spans="1:33" x14ac:dyDescent="0.2">
      <c r="A27" s="2" t="str">
        <f>IF($C$7="MBB","Enter an approved biology or psychology course",IF($C$7="Joint","",IF($Y24,"Elective","INVALID OR NONSTANDARD ELECTIVE")))</f>
        <v>Elective</v>
      </c>
      <c r="B27" s="6"/>
      <c r="C27" s="6"/>
      <c r="D27" s="37"/>
      <c r="E27" s="5"/>
      <c r="F27" s="6"/>
      <c r="J27" s="15" t="str">
        <f t="shared" si="2"/>
        <v/>
      </c>
      <c r="K27" s="16" t="b">
        <f>AND(J27&lt;&gt;"",COUNTIF(J27:J$29,J27)&gt;1,OR(RIGHT(J27)&lt;&gt;"R",J27="CS91R"))</f>
        <v>0</v>
      </c>
      <c r="L27" s="46"/>
      <c r="M27" s="46"/>
      <c r="N27" s="15">
        <f t="shared" si="0"/>
        <v>0</v>
      </c>
      <c r="O27" s="15">
        <f t="shared" si="1"/>
        <v>0</v>
      </c>
      <c r="P27" s="53" t="s">
        <v>43</v>
      </c>
      <c r="Q27" s="50" t="s">
        <v>228</v>
      </c>
      <c r="R27" s="58">
        <v>8</v>
      </c>
      <c r="S27" s="62"/>
      <c r="U27" s="56"/>
      <c r="W27" s="18"/>
      <c r="X27" s="18"/>
      <c r="Z27" s="18"/>
      <c r="AA27" s="18"/>
      <c r="AB27"/>
    </row>
    <row r="28" spans="1:33" x14ac:dyDescent="0.2">
      <c r="A28" s="3" t="str">
        <f>IF($C$7="MBB","Enter an approved MBB Junior Tutorial",IF($C$7="Joint","",IF($Y25,"Elective","INVALID OR NONSTANDARD ELECTIVE")))</f>
        <v>Elective</v>
      </c>
      <c r="B28" s="6"/>
      <c r="C28" s="6"/>
      <c r="D28" s="37"/>
      <c r="E28" s="5"/>
      <c r="F28" s="6"/>
      <c r="J28" s="15" t="str">
        <f t="shared" si="2"/>
        <v/>
      </c>
      <c r="K28" s="16" t="b">
        <f>AND(J28&lt;&gt;"",COUNTIF(J28:J$29,J28)&gt;1,OR(RIGHT(J28)&lt;&gt;"R",J28="CS91R"))</f>
        <v>0</v>
      </c>
      <c r="L28" s="46"/>
      <c r="M28" s="46"/>
      <c r="N28" s="15">
        <f t="shared" si="0"/>
        <v>0</v>
      </c>
      <c r="O28" s="15">
        <f t="shared" si="1"/>
        <v>0</v>
      </c>
      <c r="P28" s="53" t="s">
        <v>14</v>
      </c>
      <c r="Q28" s="49" t="s">
        <v>66</v>
      </c>
      <c r="R28" s="58">
        <v>8</v>
      </c>
      <c r="S28" s="62"/>
      <c r="U28" s="56"/>
      <c r="Z28" s="18"/>
      <c r="AA28" s="18"/>
      <c r="AB28"/>
    </row>
    <row r="29" spans="1:33" x14ac:dyDescent="0.2">
      <c r="A29" s="2" t="str">
        <f>IF($C$7="Honors",IF($Y$26,"Elective","INVALID OR NONSTANDARD ELECTIVE"),IF($C$7="MBB","Enter CS181 or CS182, or Other",""))</f>
        <v/>
      </c>
      <c r="B29" s="6"/>
      <c r="C29" s="6"/>
      <c r="D29" s="6"/>
      <c r="E29" s="5"/>
      <c r="F29" s="6"/>
      <c r="J29" s="15" t="str">
        <f t="shared" si="2"/>
        <v/>
      </c>
      <c r="K29" s="16" t="b">
        <f>AND(J29&lt;&gt;"",COUNTIF(J29:J$29,J29)&gt;1,OR(RIGHT(J29)&lt;&gt;"R",J29="CS91R"))</f>
        <v>0</v>
      </c>
      <c r="L29" s="46"/>
      <c r="M29" s="46"/>
      <c r="N29" s="15">
        <f t="shared" si="0"/>
        <v>0</v>
      </c>
      <c r="O29" s="15">
        <f t="shared" si="1"/>
        <v>0</v>
      </c>
      <c r="P29" s="53" t="s">
        <v>20</v>
      </c>
      <c r="Q29" s="49" t="s">
        <v>67</v>
      </c>
      <c r="R29" s="58">
        <v>8</v>
      </c>
      <c r="S29" s="62"/>
      <c r="U29" s="56"/>
      <c r="Z29" s="18"/>
      <c r="AA29" s="18"/>
      <c r="AB29"/>
    </row>
    <row r="30" spans="1:33" x14ac:dyDescent="0.2">
      <c r="A30" s="2" t="str">
        <f>IF(B30&lt;&gt;"","Concentration GPA:","")</f>
        <v/>
      </c>
      <c r="B30" s="10" t="str">
        <f>IF(SUM($O$11:$O$29)&gt;0,SUM($N$11:$N$29)/SUM($O$11:$O$29),"")</f>
        <v/>
      </c>
      <c r="C30" s="6"/>
      <c r="D30" s="6"/>
      <c r="J30" s="15" t="str">
        <f t="shared" si="2"/>
        <v/>
      </c>
      <c r="P30" s="53" t="s">
        <v>120</v>
      </c>
      <c r="Q30" s="49" t="s">
        <v>69</v>
      </c>
      <c r="R30" s="58">
        <v>3</v>
      </c>
      <c r="S30" s="62"/>
      <c r="U30" s="56"/>
      <c r="AB30"/>
      <c r="AG30" s="1" t="s">
        <v>88</v>
      </c>
    </row>
    <row r="31" spans="1:33" x14ac:dyDescent="0.2">
      <c r="A31" s="2" t="s">
        <v>68</v>
      </c>
      <c r="B31" s="6"/>
      <c r="C31" s="6"/>
      <c r="D31" s="6"/>
      <c r="J31" s="15" t="str">
        <f t="shared" si="2"/>
        <v/>
      </c>
      <c r="P31" s="53" t="s">
        <v>121</v>
      </c>
      <c r="Q31" s="49" t="s">
        <v>70</v>
      </c>
      <c r="R31" s="58">
        <v>3</v>
      </c>
      <c r="S31" s="62"/>
      <c r="U31" s="56"/>
      <c r="AB31"/>
      <c r="AG31" s="1" t="s">
        <v>119</v>
      </c>
    </row>
    <row r="32" spans="1:33" x14ac:dyDescent="0.2">
      <c r="A32" s="8"/>
      <c r="B32" s="25"/>
      <c r="C32" s="8"/>
      <c r="D32" s="8"/>
      <c r="P32" s="54" t="s">
        <v>135</v>
      </c>
      <c r="Q32" s="49" t="s">
        <v>71</v>
      </c>
      <c r="R32" s="59">
        <v>4</v>
      </c>
      <c r="S32" s="62"/>
      <c r="U32" s="56"/>
      <c r="Y32" s="1" t="s">
        <v>89</v>
      </c>
      <c r="Z32" s="1" t="s">
        <v>90</v>
      </c>
      <c r="AA32" s="19">
        <v>4</v>
      </c>
      <c r="AB32"/>
      <c r="AG32" s="1" t="s">
        <v>122</v>
      </c>
    </row>
    <row r="33" spans="1:34" x14ac:dyDescent="0.2">
      <c r="A33" s="8"/>
      <c r="B33" s="8"/>
      <c r="C33" s="8"/>
      <c r="D33" s="8"/>
      <c r="P33" s="54"/>
      <c r="Q33" s="50" t="s">
        <v>214</v>
      </c>
      <c r="R33" s="58">
        <v>4</v>
      </c>
      <c r="S33" s="62"/>
      <c r="U33" s="56"/>
      <c r="Z33" s="1" t="s">
        <v>91</v>
      </c>
      <c r="AA33" s="19">
        <v>3.67</v>
      </c>
      <c r="AB33"/>
      <c r="AG33" s="1" t="s">
        <v>128</v>
      </c>
    </row>
    <row r="34" spans="1:34" x14ac:dyDescent="0.2">
      <c r="A34" s="8"/>
      <c r="B34" s="8"/>
      <c r="C34" s="8"/>
      <c r="D34" s="8"/>
      <c r="P34" s="54"/>
      <c r="Q34" s="49" t="s">
        <v>72</v>
      </c>
      <c r="R34" s="58">
        <v>4</v>
      </c>
      <c r="S34" s="62"/>
      <c r="U34" s="56"/>
      <c r="Z34" s="1" t="s">
        <v>92</v>
      </c>
      <c r="AA34" s="19">
        <v>3.33</v>
      </c>
      <c r="AB34"/>
      <c r="AG34" s="1" t="s">
        <v>129</v>
      </c>
    </row>
    <row r="35" spans="1:34" x14ac:dyDescent="0.2">
      <c r="A35" s="6"/>
      <c r="B35" s="6"/>
      <c r="C35" s="6"/>
      <c r="D35" s="6"/>
      <c r="P35" s="54"/>
      <c r="Q35" s="49" t="s">
        <v>76</v>
      </c>
      <c r="R35" s="59">
        <v>4</v>
      </c>
      <c r="S35" s="62"/>
      <c r="U35" s="56"/>
      <c r="Z35" s="1" t="s">
        <v>99</v>
      </c>
      <c r="AA35" s="19">
        <v>3</v>
      </c>
      <c r="AB35"/>
      <c r="AC35" s="22" t="s">
        <v>145</v>
      </c>
      <c r="AD35" s="22" t="s">
        <v>146</v>
      </c>
      <c r="AG35" s="1" t="s">
        <v>132</v>
      </c>
    </row>
    <row r="36" spans="1:34" x14ac:dyDescent="0.2">
      <c r="A36" s="2" t="s">
        <v>74</v>
      </c>
      <c r="B36" s="6"/>
      <c r="C36" s="6"/>
      <c r="D36" s="6"/>
      <c r="P36" s="54"/>
      <c r="Q36" s="50" t="s">
        <v>213</v>
      </c>
      <c r="R36" s="58">
        <v>4</v>
      </c>
      <c r="S36" s="62"/>
      <c r="U36" s="56"/>
      <c r="Z36" s="1" t="s">
        <v>93</v>
      </c>
      <c r="AA36" s="19">
        <v>2.67</v>
      </c>
      <c r="AB36"/>
      <c r="AC36" s="23" t="s">
        <v>173</v>
      </c>
      <c r="AD36" s="47" t="str">
        <f>IF(AC11,AD11,IF(AC12,AD12,""))</f>
        <v/>
      </c>
      <c r="AG36" s="1" t="s">
        <v>133</v>
      </c>
    </row>
    <row r="37" spans="1:34" x14ac:dyDescent="0.2">
      <c r="A37" s="9"/>
      <c r="B37" s="28"/>
      <c r="C37" s="9"/>
      <c r="D37" s="9"/>
      <c r="P37" s="54"/>
      <c r="Q37" s="49" t="s">
        <v>73</v>
      </c>
      <c r="R37" s="58">
        <v>4</v>
      </c>
      <c r="S37" s="62"/>
      <c r="U37" s="56"/>
      <c r="Z37" s="1" t="s">
        <v>94</v>
      </c>
      <c r="AA37" s="19">
        <v>2.33</v>
      </c>
      <c r="AC37" s="23" t="s">
        <v>174</v>
      </c>
      <c r="AD37" s="47" t="str">
        <f>IF(AC13,AD13,IF(AC14,AD14,""))</f>
        <v/>
      </c>
      <c r="AG37" s="1" t="s">
        <v>165</v>
      </c>
    </row>
    <row r="38" spans="1:34" x14ac:dyDescent="0.2">
      <c r="A38" s="9"/>
      <c r="B38" s="9"/>
      <c r="C38" s="9"/>
      <c r="D38" s="9"/>
      <c r="P38" s="54"/>
      <c r="Q38" s="49" t="s">
        <v>75</v>
      </c>
      <c r="R38" s="58">
        <v>4</v>
      </c>
      <c r="S38" s="62"/>
      <c r="U38" s="56"/>
      <c r="Z38" s="1" t="s">
        <v>100</v>
      </c>
      <c r="AA38" s="19">
        <v>2</v>
      </c>
      <c r="AC38" s="23" t="s">
        <v>171</v>
      </c>
      <c r="AD38" s="47" t="str">
        <f>IF(AC19,AD19,IF(AC15,AD15,IF(AC18,AD18,"")))</f>
        <v/>
      </c>
      <c r="AG38" s="1" t="s">
        <v>175</v>
      </c>
    </row>
    <row r="39" spans="1:34" x14ac:dyDescent="0.2">
      <c r="A39" s="9"/>
      <c r="B39" s="9"/>
      <c r="C39" s="9"/>
      <c r="D39" s="9"/>
      <c r="P39" s="54"/>
      <c r="Q39" s="49" t="s">
        <v>79</v>
      </c>
      <c r="R39" s="58">
        <v>4</v>
      </c>
      <c r="S39" s="62"/>
      <c r="U39" s="56"/>
      <c r="Z39" s="1" t="s">
        <v>95</v>
      </c>
      <c r="AA39" s="19">
        <v>1.67</v>
      </c>
      <c r="AC39" s="23" t="s">
        <v>172</v>
      </c>
      <c r="AD39" s="47" t="str">
        <f>IF($AC$16,$AD$16,IF($AC$17,$AD$17,IF($AC$24,$AD$24,IF($AC$25,$AD$25,""))))</f>
        <v/>
      </c>
      <c r="AF39" s="38">
        <v>43313</v>
      </c>
      <c r="AG39" s="1" t="s">
        <v>176</v>
      </c>
    </row>
    <row r="40" spans="1:34" x14ac:dyDescent="0.2">
      <c r="P40" s="56"/>
      <c r="Q40" s="49" t="s">
        <v>77</v>
      </c>
      <c r="R40" s="58">
        <v>4</v>
      </c>
      <c r="U40" s="56"/>
      <c r="Z40" s="1" t="s">
        <v>96</v>
      </c>
      <c r="AA40" s="19">
        <v>1.33</v>
      </c>
      <c r="AC40" s="23" t="s">
        <v>189</v>
      </c>
      <c r="AD40" s="47" t="str">
        <f>IF(AC20,AD20,IF(AC21,AD21,IF(AC22,AD22,IF(AC23,AD23,""))))</f>
        <v/>
      </c>
      <c r="AF40" s="39">
        <v>43330</v>
      </c>
      <c r="AG40" s="1" t="s">
        <v>177</v>
      </c>
    </row>
    <row r="41" spans="1:34" x14ac:dyDescent="0.2">
      <c r="A41" s="2" t="str">
        <f>_xlfn.CONCAT("Concentration spreadsheet v", LOOKUP(2,1/(AG:AG&lt;&gt;""),AG:AG), " ",  TEXT(LOOKUP(2,1/(AF:AF&lt;&gt;""),AF:AF),"mmm YYYY"))</f>
        <v>Concentration spreadsheet v1.2.2 Oct 2020</v>
      </c>
      <c r="P41" s="56"/>
      <c r="Q41" s="50" t="s">
        <v>211</v>
      </c>
      <c r="R41" s="58">
        <v>4</v>
      </c>
      <c r="U41" s="56"/>
      <c r="Z41" s="1" t="s">
        <v>98</v>
      </c>
      <c r="AA41" s="19">
        <v>1</v>
      </c>
      <c r="AF41" s="38">
        <v>43313</v>
      </c>
      <c r="AG41" s="1" t="s">
        <v>179</v>
      </c>
      <c r="AH41" s="2" t="s">
        <v>180</v>
      </c>
    </row>
    <row r="42" spans="1:34" x14ac:dyDescent="0.2">
      <c r="P42" s="56"/>
      <c r="Q42" s="50" t="s">
        <v>212</v>
      </c>
      <c r="R42" s="58">
        <v>4</v>
      </c>
      <c r="U42" s="56"/>
      <c r="Z42" s="1" t="s">
        <v>97</v>
      </c>
      <c r="AA42" s="19">
        <v>0.67</v>
      </c>
      <c r="AF42" s="38">
        <v>43344</v>
      </c>
      <c r="AG42" s="1" t="s">
        <v>183</v>
      </c>
      <c r="AH42" s="2" t="s">
        <v>184</v>
      </c>
    </row>
    <row r="43" spans="1:34" x14ac:dyDescent="0.2">
      <c r="P43" s="56"/>
      <c r="Q43" s="49" t="s">
        <v>78</v>
      </c>
      <c r="R43" s="58">
        <v>5</v>
      </c>
      <c r="U43" s="56"/>
      <c r="AF43" s="38">
        <v>43401</v>
      </c>
      <c r="AG43" s="1" t="s">
        <v>187</v>
      </c>
      <c r="AH43" s="2" t="s">
        <v>188</v>
      </c>
    </row>
    <row r="44" spans="1:34" x14ac:dyDescent="0.2">
      <c r="P44" s="56"/>
      <c r="Q44" s="49" t="s">
        <v>101</v>
      </c>
      <c r="R44" s="58">
        <v>4</v>
      </c>
      <c r="U44" s="56"/>
      <c r="AF44" s="38">
        <v>43412</v>
      </c>
      <c r="AG44" s="1" t="s">
        <v>196</v>
      </c>
      <c r="AH44" s="2" t="s">
        <v>197</v>
      </c>
    </row>
    <row r="45" spans="1:34" ht="16" customHeight="1" x14ac:dyDescent="0.2">
      <c r="P45" s="56"/>
      <c r="Q45" s="49" t="s">
        <v>102</v>
      </c>
      <c r="R45" s="58">
        <v>6</v>
      </c>
      <c r="U45" s="56"/>
      <c r="AF45" s="38">
        <v>43707</v>
      </c>
      <c r="AG45" s="1" t="s">
        <v>198</v>
      </c>
      <c r="AH45" s="2" t="s">
        <v>208</v>
      </c>
    </row>
    <row r="46" spans="1:34" ht="16" customHeight="1" x14ac:dyDescent="0.2">
      <c r="P46" s="56"/>
      <c r="Q46" s="49" t="s">
        <v>103</v>
      </c>
      <c r="R46" s="58">
        <v>6</v>
      </c>
      <c r="AF46" s="38">
        <v>43726</v>
      </c>
      <c r="AG46" s="1" t="s">
        <v>217</v>
      </c>
      <c r="AH46" s="2" t="s">
        <v>219</v>
      </c>
    </row>
    <row r="47" spans="1:34" ht="16" customHeight="1" x14ac:dyDescent="0.2">
      <c r="P47" s="56"/>
      <c r="Q47" s="49" t="s">
        <v>104</v>
      </c>
      <c r="R47" s="58">
        <v>6</v>
      </c>
      <c r="AF47" s="38">
        <v>43959</v>
      </c>
      <c r="AG47" s="1" t="s">
        <v>226</v>
      </c>
      <c r="AH47" s="2" t="s">
        <v>227</v>
      </c>
    </row>
    <row r="48" spans="1:34" ht="16" customHeight="1" x14ac:dyDescent="0.2">
      <c r="P48" s="56"/>
      <c r="Q48" s="49" t="s">
        <v>105</v>
      </c>
      <c r="R48" s="58">
        <v>6</v>
      </c>
      <c r="AF48" s="38">
        <v>44068</v>
      </c>
      <c r="AG48" s="1" t="s">
        <v>234</v>
      </c>
      <c r="AH48" s="2" t="s">
        <v>235</v>
      </c>
    </row>
    <row r="49" spans="16:34" ht="16" customHeight="1" x14ac:dyDescent="0.2">
      <c r="P49" s="56"/>
      <c r="Q49" s="49" t="s">
        <v>106</v>
      </c>
      <c r="R49" s="59">
        <v>6</v>
      </c>
      <c r="AF49" s="38">
        <v>44123</v>
      </c>
      <c r="AG49" s="1" t="s">
        <v>236</v>
      </c>
      <c r="AH49" s="2" t="s">
        <v>237</v>
      </c>
    </row>
    <row r="50" spans="16:34" ht="16" customHeight="1" x14ac:dyDescent="0.2">
      <c r="P50" s="56"/>
      <c r="Q50" s="50" t="s">
        <v>209</v>
      </c>
      <c r="R50" s="59">
        <v>7</v>
      </c>
      <c r="AF50" s="38"/>
    </row>
    <row r="51" spans="16:34" ht="16" customHeight="1" x14ac:dyDescent="0.2">
      <c r="P51" s="56"/>
      <c r="Q51" s="50" t="s">
        <v>210</v>
      </c>
      <c r="R51" s="60">
        <v>7</v>
      </c>
      <c r="AF51" s="38"/>
    </row>
    <row r="52" spans="16:34" ht="16" customHeight="1" x14ac:dyDescent="0.2">
      <c r="P52" s="56"/>
      <c r="Q52" s="51" t="s">
        <v>107</v>
      </c>
      <c r="R52" s="60">
        <v>7</v>
      </c>
      <c r="AF52" s="38"/>
    </row>
    <row r="53" spans="16:34" ht="16" customHeight="1" x14ac:dyDescent="0.2">
      <c r="P53" s="56"/>
      <c r="Q53" s="51" t="s">
        <v>108</v>
      </c>
      <c r="R53" s="60">
        <v>7</v>
      </c>
      <c r="AF53" s="38"/>
    </row>
    <row r="54" spans="16:34" ht="16" customHeight="1" x14ac:dyDescent="0.2">
      <c r="P54" s="56"/>
      <c r="Q54" s="51" t="s">
        <v>109</v>
      </c>
      <c r="R54" s="60">
        <v>7</v>
      </c>
      <c r="AF54" s="38"/>
    </row>
    <row r="55" spans="16:34" ht="16" customHeight="1" x14ac:dyDescent="0.2">
      <c r="P55" s="56"/>
      <c r="Q55" s="51" t="s">
        <v>230</v>
      </c>
      <c r="R55" s="60">
        <v>7</v>
      </c>
      <c r="AF55" s="38"/>
    </row>
    <row r="56" spans="16:34" x14ac:dyDescent="0.2">
      <c r="P56" s="56"/>
      <c r="Q56" s="51" t="s">
        <v>110</v>
      </c>
      <c r="R56" s="60">
        <v>8</v>
      </c>
      <c r="AF56" s="38"/>
    </row>
    <row r="57" spans="16:34" x14ac:dyDescent="0.2">
      <c r="P57" s="56"/>
      <c r="Q57" s="51" t="s">
        <v>111</v>
      </c>
      <c r="R57" s="60">
        <v>8</v>
      </c>
      <c r="AF57" s="38"/>
    </row>
    <row r="58" spans="16:34" x14ac:dyDescent="0.2">
      <c r="P58" s="56"/>
      <c r="Q58" s="51" t="s">
        <v>112</v>
      </c>
      <c r="R58" s="60">
        <v>8</v>
      </c>
      <c r="AF58" s="38"/>
    </row>
    <row r="59" spans="16:34" x14ac:dyDescent="0.2">
      <c r="P59" s="56"/>
      <c r="Q59" s="51" t="s">
        <v>113</v>
      </c>
      <c r="R59" s="60">
        <v>8</v>
      </c>
      <c r="AF59" s="38"/>
    </row>
    <row r="60" spans="16:34" x14ac:dyDescent="0.2">
      <c r="P60" s="56"/>
      <c r="Q60" s="51" t="s">
        <v>114</v>
      </c>
      <c r="R60" s="60">
        <v>8</v>
      </c>
      <c r="AF60" s="38"/>
    </row>
    <row r="61" spans="16:34" x14ac:dyDescent="0.2">
      <c r="P61" s="56"/>
      <c r="Q61" s="51" t="s">
        <v>115</v>
      </c>
      <c r="R61" s="60">
        <v>8</v>
      </c>
      <c r="AF61" s="38"/>
    </row>
    <row r="62" spans="16:34" x14ac:dyDescent="0.2">
      <c r="P62" s="56"/>
      <c r="Q62" s="51" t="s">
        <v>232</v>
      </c>
      <c r="R62" s="60">
        <v>8</v>
      </c>
      <c r="AF62" s="38"/>
    </row>
    <row r="63" spans="16:34" x14ac:dyDescent="0.2">
      <c r="P63" s="56"/>
      <c r="Q63" s="51" t="s">
        <v>116</v>
      </c>
      <c r="R63" s="60">
        <v>8</v>
      </c>
      <c r="AF63" s="38"/>
    </row>
    <row r="64" spans="16:34" x14ac:dyDescent="0.2">
      <c r="P64" s="56"/>
      <c r="Q64" s="51" t="s">
        <v>117</v>
      </c>
      <c r="R64" s="59">
        <v>8</v>
      </c>
    </row>
    <row r="65" spans="17:18" x14ac:dyDescent="0.2">
      <c r="Q65" s="51" t="s">
        <v>118</v>
      </c>
      <c r="R65" s="59">
        <v>8</v>
      </c>
    </row>
    <row r="66" spans="17:18" x14ac:dyDescent="0.2">
      <c r="Q66" s="50" t="s">
        <v>124</v>
      </c>
      <c r="R66" s="59">
        <v>4</v>
      </c>
    </row>
    <row r="67" spans="17:18" x14ac:dyDescent="0.2">
      <c r="Q67" s="50" t="s">
        <v>125</v>
      </c>
      <c r="R67" s="59">
        <v>4</v>
      </c>
    </row>
    <row r="68" spans="17:18" x14ac:dyDescent="0.2">
      <c r="Q68" s="50" t="s">
        <v>126</v>
      </c>
      <c r="R68" s="59">
        <v>3</v>
      </c>
    </row>
    <row r="69" spans="17:18" x14ac:dyDescent="0.2">
      <c r="Q69" s="50" t="s">
        <v>185</v>
      </c>
      <c r="R69" s="59">
        <v>8</v>
      </c>
    </row>
    <row r="70" spans="17:18" x14ac:dyDescent="0.2">
      <c r="Q70" s="50" t="s">
        <v>233</v>
      </c>
      <c r="R70" s="59">
        <v>7</v>
      </c>
    </row>
  </sheetData>
  <sheetProtection algorithmName="SHA-512" hashValue="t/q+NOq/VlUV9rmjsaGITzArSuAQS0SSnjRdoZHT4e7gN3jVGV6TfRAyLe+TUzJUHxRg8gubF9IOmRmqInUWNw==" saltValue="ikCRZ4TKlOXqI4GIu+qV7w==" spinCount="100000" sheet="1" objects="1" scenarios="1"/>
  <sortState xmlns:xlrd2="http://schemas.microsoft.com/office/spreadsheetml/2017/richdata2" ref="P5:P35">
    <sortCondition ref="P5"/>
  </sortState>
  <phoneticPr fontId="4" type="noConversion"/>
  <conditionalFormatting sqref="B27:B28">
    <cfRule type="expression" dxfId="21" priority="4" stopIfTrue="1">
      <formula>$C$7&lt;&gt;"Joint"</formula>
    </cfRule>
  </conditionalFormatting>
  <conditionalFormatting sqref="B29">
    <cfRule type="expression" dxfId="20" priority="5" stopIfTrue="1">
      <formula>OR($C$7="Honors",$C$7="MBB")</formula>
    </cfRule>
  </conditionalFormatting>
  <conditionalFormatting sqref="B30">
    <cfRule type="cellIs" dxfId="19" priority="6" stopIfTrue="1" operator="notEqual">
      <formula>""</formula>
    </cfRule>
  </conditionalFormatting>
  <conditionalFormatting sqref="C8:D8">
    <cfRule type="expression" dxfId="18" priority="7" stopIfTrue="1">
      <formula>C7="Joint"</formula>
    </cfRule>
  </conditionalFormatting>
  <conditionalFormatting sqref="C9:D9">
    <cfRule type="expression" dxfId="17" priority="8" stopIfTrue="1">
      <formula>C7="Joint"</formula>
    </cfRule>
  </conditionalFormatting>
  <conditionalFormatting sqref="C25:D25">
    <cfRule type="expression" dxfId="16" priority="9" stopIfTrue="1">
      <formula>AND($C$7&lt;&gt;"",$C$7&lt;&gt;"Basic")</formula>
    </cfRule>
  </conditionalFormatting>
  <conditionalFormatting sqref="A6 A19 A22 A26">
    <cfRule type="cellIs" dxfId="15" priority="10" stopIfTrue="1" operator="notEqual">
      <formula>""</formula>
    </cfRule>
  </conditionalFormatting>
  <conditionalFormatting sqref="C27:D27">
    <cfRule type="expression" dxfId="14" priority="11" stopIfTrue="1">
      <formula>$C$7&lt;&gt;"Joint"</formula>
    </cfRule>
  </conditionalFormatting>
  <conditionalFormatting sqref="C28:D28">
    <cfRule type="expression" dxfId="13" priority="12" stopIfTrue="1">
      <formula>$C$7&lt;&gt;"Joint"</formula>
    </cfRule>
  </conditionalFormatting>
  <conditionalFormatting sqref="C29:D29">
    <cfRule type="expression" dxfId="12" priority="13" stopIfTrue="1">
      <formula>OR($C$7="Honors",$C$7="MBB")</formula>
    </cfRule>
  </conditionalFormatting>
  <conditionalFormatting sqref="F14">
    <cfRule type="expression" dxfId="11" priority="14" stopIfTrue="1">
      <formula>$C$14="Other"</formula>
    </cfRule>
  </conditionalFormatting>
  <conditionalFormatting sqref="F15">
    <cfRule type="expression" dxfId="10" priority="15" stopIfTrue="1">
      <formula>$C$15="Other"</formula>
    </cfRule>
  </conditionalFormatting>
  <conditionalFormatting sqref="F17">
    <cfRule type="expression" dxfId="9" priority="16" stopIfTrue="1">
      <formula>$C$17="Other"</formula>
    </cfRule>
  </conditionalFormatting>
  <conditionalFormatting sqref="F18">
    <cfRule type="expression" dxfId="8" priority="17" stopIfTrue="1">
      <formula>$C$18="Other"</formula>
    </cfRule>
  </conditionalFormatting>
  <conditionalFormatting sqref="F20">
    <cfRule type="expression" dxfId="7" priority="18" stopIfTrue="1">
      <formula>$C$20="Other"</formula>
    </cfRule>
  </conditionalFormatting>
  <conditionalFormatting sqref="F21">
    <cfRule type="expression" dxfId="6" priority="19" stopIfTrue="1">
      <formula>C21="Other"</formula>
    </cfRule>
  </conditionalFormatting>
  <conditionalFormatting sqref="A27:A29">
    <cfRule type="cellIs" dxfId="5" priority="20" stopIfTrue="1" operator="equal">
      <formula>"INVALID ELECTIVE"</formula>
    </cfRule>
  </conditionalFormatting>
  <conditionalFormatting sqref="A30">
    <cfRule type="expression" dxfId="4" priority="21" stopIfTrue="1">
      <formula>$B$30&lt;&gt;""</formula>
    </cfRule>
  </conditionalFormatting>
  <conditionalFormatting sqref="B25">
    <cfRule type="expression" dxfId="3" priority="22" stopIfTrue="1">
      <formula>AND($C$7&lt;&gt;"",$C$7&lt;&gt;"Basic")</formula>
    </cfRule>
  </conditionalFormatting>
  <conditionalFormatting sqref="A16">
    <cfRule type="cellIs" dxfId="2" priority="3" stopIfTrue="1" operator="notEqual">
      <formula>""</formula>
    </cfRule>
  </conditionalFormatting>
  <conditionalFormatting sqref="C13:D13">
    <cfRule type="expression" dxfId="1" priority="2" stopIfTrue="1">
      <formula>$A$13&lt;&gt;""</formula>
    </cfRule>
  </conditionalFormatting>
  <conditionalFormatting sqref="B13">
    <cfRule type="expression" dxfId="0" priority="1" stopIfTrue="1">
      <formula>$A$13&lt;&gt;""</formula>
    </cfRule>
  </conditionalFormatting>
  <dataValidations count="16">
    <dataValidation type="list" operator="equal" allowBlank="1" showErrorMessage="1" sqref="C7" xr:uid="{00000000-0002-0000-0000-000000000000}">
      <formula1>"Basic,Honors,Joint,MBB"</formula1>
      <formula2>0</formula2>
    </dataValidation>
    <dataValidation operator="equal" allowBlank="1" showErrorMessage="1" sqref="C8:D8" xr:uid="{00000000-0002-0000-0000-000001000000}">
      <formula1>0</formula1>
      <formula2>0</formula2>
    </dataValidation>
    <dataValidation type="list" operator="equal" allowBlank="1" showErrorMessage="1" sqref="C9" xr:uid="{00000000-0002-0000-0000-000002000000}">
      <formula1>"Primary,Allied,"</formula1>
    </dataValidation>
    <dataValidation type="list" operator="equal" allowBlank="1" showErrorMessage="1" sqref="B11:B15" xr:uid="{00000000-0002-0000-0000-000003000000}">
      <formula1>"A,A-,B+,B,B-,C+,C,C-,D+,D,D-,SAT,SEM"</formula1>
    </dataValidation>
    <dataValidation type="list" operator="equal" allowBlank="1" showErrorMessage="1" sqref="C14" xr:uid="{00000000-0002-0000-0000-000004000000}">
      <formula1>"Stat 110,Math 21a,AM 21a,AM 22b,Math 22a (Spring 2019 and earlier),Math 22b (Fall 2019 and later),Math 23b,Math 23c,Math 25b,Math 55b,Math 1a+1b+CS20 (Class of 2019 and 2020 only),Other"</formula1>
    </dataValidation>
    <dataValidation type="list" operator="equal" allowBlank="1" showErrorMessage="1" sqref="C15" xr:uid="{00000000-0002-0000-0000-000005000000}">
      <formula1>"AM22a,Math 21b,AM 21b,Math 22a (Fall 2019 and later),Math 22b (Spring 2019 and earlier),Math 23a,Math 25a,Math 55a,Other"</formula1>
    </dataValidation>
    <dataValidation type="list" operator="equal" allowBlank="1" sqref="B27:B29" xr:uid="{00000000-0002-0000-0000-000006000000}">
      <formula1>"A,A-,B+,B,B-,C+,C,C-,D+,D,D-,SAT,"</formula1>
      <formula2>0</formula2>
    </dataValidation>
    <dataValidation type="list" operator="equal" allowBlank="1" showErrorMessage="1" sqref="C17:C18" xr:uid="{00000000-0002-0000-0000-000007000000}">
      <formula1>"CS50,CS51,CS61,Other"</formula1>
      <formula2>0</formula2>
    </dataValidation>
    <dataValidation type="list" operator="equal" allowBlank="1" showErrorMessage="1" sqref="C20" xr:uid="{00000000-0002-0000-0000-000008000000}">
      <formula1>"CS121,CS221,Other"</formula1>
    </dataValidation>
    <dataValidation type="list" allowBlank="1" showInputMessage="1" showErrorMessage="1" sqref="C3" xr:uid="{00000000-0002-0000-0000-000009000000}">
      <formula1>"Sophomore,Junior,Senior,Freshman,Other"</formula1>
    </dataValidation>
    <dataValidation operator="equal" allowBlank="1" showErrorMessage="1" sqref="D7 D9" xr:uid="{00000000-0002-0000-0000-00000A000000}"/>
    <dataValidation type="list" allowBlank="1" showInputMessage="1" showErrorMessage="1" sqref="C4" xr:uid="{00000000-0002-0000-0000-00000D000000}">
      <formula1>"Declare CS concentration,Update study plan"</formula1>
    </dataValidation>
    <dataValidation type="list" allowBlank="1" showInputMessage="1" showErrorMessage="1" sqref="C11:C13" xr:uid="{00000000-0002-0000-0000-00000E000000}">
      <formula1>"None,Math 1a, Math 1b, Math Ma, Math Mb"</formula1>
    </dataValidation>
    <dataValidation type="list" operator="equal" allowBlank="1" showErrorMessage="1" sqref="D14 D20 D17:D18 D23:D24 D27:D28" xr:uid="{00000000-0002-0000-0000-00000B000000}">
      <formula1>$U$5:$U$25</formula1>
    </dataValidation>
    <dataValidation type="list" allowBlank="1" showInputMessage="1" showErrorMessage="1" sqref="D25 D21 D15 D29" xr:uid="{00000000-0002-0000-0000-00000C000000}">
      <formula1>$U$5:$U$25</formula1>
    </dataValidation>
    <dataValidation type="list" operator="equal" allowBlank="1" sqref="B17:B18 B20:B21 B23:B25" xr:uid="{ADC27828-F536-FD4B-85E3-7A1A26046AEC}">
      <formula1>"A,A-,B+,B,B-,C+,C,C-,D+,D,D-,SAT,SEM"</formula1>
    </dataValidation>
  </dataValidations>
  <pageMargins left="0.79" right="0.79" top="1.03" bottom="1.03" header="0.79" footer="0.79"/>
  <pageSetup scale="63" orientation="portrait" useFirstPageNumber="1" horizontalDpi="300" verticalDpi="300" r:id="rId1"/>
  <headerFooter>
    <oddHeader>&amp;CHarvard Computer Science Plan of Study</oddHeader>
    <oddFooter>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Chong</cp:lastModifiedBy>
  <cp:lastPrinted>2017-07-03T20:52:35Z</cp:lastPrinted>
  <dcterms:created xsi:type="dcterms:W3CDTF">2017-07-03T17:38:18Z</dcterms:created>
  <dcterms:modified xsi:type="dcterms:W3CDTF">2020-10-19T21:24:08Z</dcterms:modified>
</cp:coreProperties>
</file>